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1455" windowWidth="12330" windowHeight="7230" tabRatio="909" firstSheet="0" activeTab="0"/>
  </bookViews>
  <sheets>
    <sheet name="Sheet1" sheetId="1" r:id="rId1"/>
    <sheet name="Base" sheetId="2" r:id="rId2"/>
    <sheet name="Global" sheetId="3" r:id="rId3"/>
    <sheet name="ChargeStates -&gt; MeanValue" sheetId="4" r:id="rId4"/>
    <sheet name="Z -&gt; data" sheetId="5" r:id="rId5"/>
    <sheet name="data -&gt; Z" sheetId="6" r:id="rId6"/>
    <sheet name="parameters" sheetId="7" r:id="rId7"/>
    <sheet name="data" sheetId="8" state="hidden" r:id="rId8"/>
  </sheets>
  <definedNames>
    <definedName name="A">'Z -&gt; data'!$C$6</definedName>
    <definedName name="a_pin_de">'parameters'!$B$8</definedName>
    <definedName name="a_sci_de">'parameters'!$F$8</definedName>
    <definedName name="a_tof">'parameters'!$B$2</definedName>
    <definedName name="a_tof2">'parameters'!$F$2</definedName>
    <definedName name="a_z">'parameters'!$B$15</definedName>
    <definedName name="aem">'parameters'!$F$23</definedName>
    <definedName name="Afragment">'Base'!$E$49</definedName>
    <definedName name="Aparticle">'Base'!$F$4</definedName>
    <definedName name="Aparticle_g">'Global'!$C$6</definedName>
    <definedName name="Atarget">'Base'!$F$6</definedName>
    <definedName name="Atarget_g">'Global'!$C$10</definedName>
    <definedName name="b_pin_de">'parameters'!$B$9</definedName>
    <definedName name="b_sci_de">'parameters'!$F$9</definedName>
    <definedName name="b_tof">'parameters'!$B$3</definedName>
    <definedName name="b_tof2">'parameters'!$F$3</definedName>
    <definedName name="b_z">'parameters'!$B$16</definedName>
    <definedName name="BeamZ">'ChargeStates -&gt; MeanValue'!$B$31</definedName>
    <definedName name="Brho" localSheetId="4">'Z -&gt; data'!$C$2</definedName>
    <definedName name="Brho1" localSheetId="4">'Z -&gt; data'!$C$2</definedName>
    <definedName name="Brho1">'data -&gt; Z'!$B$1</definedName>
    <definedName name="Brho2" localSheetId="4">'Z -&gt; data'!$C$3</definedName>
    <definedName name="Brho2">'data -&gt; Z'!$B$2</definedName>
    <definedName name="c_speed">'parameters'!$F$22</definedName>
    <definedName name="dispersion">'parameters'!$F$29</definedName>
    <definedName name="energy" localSheetId="3">'ChargeStates -&gt; MeanValue'!$B$2</definedName>
    <definedName name="energy">'Base'!$F$7</definedName>
    <definedName name="Energy_g">'Global'!$C$9</definedName>
    <definedName name="Energy_loss_option">'Base'!$E$52</definedName>
    <definedName name="Energy2">'ChargeStates -&gt; MeanValue'!$B$32</definedName>
    <definedName name="Fast_g">'Global'!$C$14</definedName>
    <definedName name="HF">'parameters'!$F$13</definedName>
    <definedName name="length1">'parameters'!$F$16</definedName>
    <definedName name="length2">'parameters'!$F$17</definedName>
    <definedName name="mass_58Ni">'parameters'!$F$20</definedName>
    <definedName name="Material_pin">'parameters'!$B$10</definedName>
    <definedName name="offsetX">'parameters'!$F$26</definedName>
    <definedName name="Opt">'Base'!$E$50</definedName>
    <definedName name="Option_g">'Global'!$C$13</definedName>
    <definedName name="_xlnm.Print_Area" localSheetId="1">'Base'!$B$2:$G$41</definedName>
    <definedName name="_xlnm.Print_Area" localSheetId="5">'data -&gt; Z'!$A$1:$S$13</definedName>
    <definedName name="_xlnm.Print_Area" localSheetId="6">'parameters'!$A$1:$G$29</definedName>
    <definedName name="_xlnm.Print_Area" localSheetId="4">'Z -&gt; data'!$A$1:$J$20</definedName>
    <definedName name="Q1_">'Z -&gt; data'!$C$8</definedName>
    <definedName name="Q2_">'Z -&gt; data'!$C$9</definedName>
    <definedName name="radius">'parameters'!$F$19</definedName>
    <definedName name="Range_option">'Base'!$E$51</definedName>
    <definedName name="relat_PPAC_dE">'parameters'!$F$21</definedName>
    <definedName name="shift">'parameters'!$B$4</definedName>
    <definedName name="shift_calc">'parameters'!$F$14</definedName>
    <definedName name="shift2">'parameters'!$F$4</definedName>
    <definedName name="slope_Brho">'parameters'!$F$28</definedName>
    <definedName name="slopeX">'parameters'!$F$25</definedName>
    <definedName name="solver_adj" localSheetId="6" hidden="1">'parameters'!$B$15:$B$16</definedName>
    <definedName name="solver_cvg" localSheetId="6" hidden="1">0.00001</definedName>
    <definedName name="solver_drv" localSheetId="6" hidden="1">2</definedName>
    <definedName name="solver_est" localSheetId="6" hidden="1">2</definedName>
    <definedName name="solver_itr" localSheetId="6" hidden="1">9999</definedName>
    <definedName name="solver_lin" localSheetId="6" hidden="1">2</definedName>
    <definedName name="solver_neg" localSheetId="6" hidden="1">2</definedName>
    <definedName name="solver_num" localSheetId="6" hidden="1">0</definedName>
    <definedName name="solver_nwt" localSheetId="6" hidden="1">2</definedName>
    <definedName name="solver_opt" localSheetId="6" hidden="1">'parameters'!$D$7</definedName>
    <definedName name="solver_pre" localSheetId="6" hidden="1">0.0001</definedName>
    <definedName name="solver_scl" localSheetId="6" hidden="1">2</definedName>
    <definedName name="solver_sho" localSheetId="6" hidden="1">2</definedName>
    <definedName name="solver_tim" localSheetId="6" hidden="1">9999</definedName>
    <definedName name="solver_tol" localSheetId="6" hidden="1">0.001</definedName>
    <definedName name="solver_typ" localSheetId="6" hidden="1">2</definedName>
    <definedName name="solver_val" localSheetId="6" hidden="1">0</definedName>
    <definedName name="target">'ChargeStates -&gt; MeanValue'!$B$1</definedName>
    <definedName name="Thickness">'Base'!$F$8</definedName>
    <definedName name="Thickness_g">'Global'!$C$12</definedName>
    <definedName name="Thickness_pin">'parameters'!$B$11</definedName>
    <definedName name="TKE">'data -&gt; Z'!$I$13</definedName>
    <definedName name="Z" localSheetId="4">'Z -&gt; data'!$C$7</definedName>
    <definedName name="Zfragment">'Base'!$E$48</definedName>
    <definedName name="ZmQ">'Base'!$F$9</definedName>
    <definedName name="ZmQ_in_g">'Global'!$C$8</definedName>
    <definedName name="ZmQ_out_g">'Global'!$C$5</definedName>
    <definedName name="Zparticle">'Base'!$F$3</definedName>
    <definedName name="Zparticle_g">'Global'!$C$7</definedName>
    <definedName name="Ztarget">'Base'!$F$5</definedName>
    <definedName name="Ztarget_g">'Global'!$C$11</definedName>
  </definedNames>
  <calcPr fullCalcOnLoad="1"/>
</workbook>
</file>

<file path=xl/sharedStrings.xml><?xml version="1.0" encoding="utf-8"?>
<sst xmlns="http://schemas.openxmlformats.org/spreadsheetml/2006/main" count="528" uniqueCount="382">
  <si>
    <t>N</t>
  </si>
  <si>
    <t>A/Q</t>
  </si>
  <si>
    <t>Fq</t>
  </si>
  <si>
    <t>B0</t>
  </si>
  <si>
    <t>No.</t>
  </si>
  <si>
    <t>Name</t>
  </si>
  <si>
    <t>Fit</t>
  </si>
  <si>
    <t>Basin</t>
  </si>
  <si>
    <t>MHz</t>
  </si>
  <si>
    <t>T</t>
  </si>
  <si>
    <t xml:space="preserve">Cp(0) </t>
  </si>
  <si>
    <t xml:space="preserve">Cp(1) </t>
  </si>
  <si>
    <t xml:space="preserve">Cp(2) </t>
  </si>
  <si>
    <t xml:space="preserve">Cp(3) </t>
  </si>
  <si>
    <t xml:space="preserve">czp(0) </t>
  </si>
  <si>
    <t xml:space="preserve">czp(1) </t>
  </si>
  <si>
    <t xml:space="preserve">czp(2) </t>
  </si>
  <si>
    <t xml:space="preserve">czp(3) </t>
  </si>
  <si>
    <t xml:space="preserve">cdqn(0) </t>
  </si>
  <si>
    <t xml:space="preserve">cdqn(1) </t>
  </si>
  <si>
    <t xml:space="preserve">cdqn(2) </t>
  </si>
  <si>
    <t xml:space="preserve">cdqn(3) </t>
  </si>
  <si>
    <t xml:space="preserve">cdqp(0) </t>
  </si>
  <si>
    <t xml:space="preserve">cdqp(1) </t>
  </si>
  <si>
    <t xml:space="preserve">cdqp(2) </t>
  </si>
  <si>
    <t xml:space="preserve">cdqp(3) </t>
  </si>
  <si>
    <t xml:space="preserve">cr(0) </t>
  </si>
  <si>
    <t xml:space="preserve">cr(1) </t>
  </si>
  <si>
    <t xml:space="preserve">cr(2) </t>
  </si>
  <si>
    <t xml:space="preserve">cr(3) </t>
  </si>
  <si>
    <t>up</t>
  </si>
  <si>
    <t>un</t>
  </si>
  <si>
    <t>Z</t>
  </si>
  <si>
    <t>Mass</t>
  </si>
  <si>
    <t>Density</t>
  </si>
  <si>
    <t>H</t>
  </si>
  <si>
    <t>He</t>
  </si>
  <si>
    <t>Li</t>
  </si>
  <si>
    <t>Be</t>
  </si>
  <si>
    <t>B</t>
  </si>
  <si>
    <t>C</t>
  </si>
  <si>
    <t>O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</si>
  <si>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</si>
  <si>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</si>
  <si>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</si>
  <si>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</si>
  <si>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</si>
  <si>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</si>
  <si>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</si>
  <si>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</si>
  <si>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</si>
  <si>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</si>
  <si>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</si>
  <si>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</si>
  <si>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</si>
  <si>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</si>
  <si>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</si>
  <si>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</si>
  <si>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</si>
  <si>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</si>
  <si>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</si>
  <si>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</si>
  <si>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</si>
  <si>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</si>
  <si>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</si>
  <si>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</si>
  <si>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</si>
  <si>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</si>
  <si>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</si>
  <si>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</si>
  <si>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</si>
  <si>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</si>
  <si>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</si>
  <si>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</si>
  <si>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</si>
  <si>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</si>
  <si>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</si>
  <si>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</si>
  <si>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</si>
  <si>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</si>
  <si>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</si>
  <si>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</si>
  <si>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</si>
  <si>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</si>
  <si>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</si>
  <si>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</si>
  <si>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</si>
  <si>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</si>
  <si>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</si>
  <si>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</si>
  <si>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</si>
  <si>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</si>
  <si>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</si>
  <si>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</si>
  <si>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</si>
  <si>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</si>
  <si>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</si>
  <si>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</si>
  <si>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</si>
  <si>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</si>
  <si>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</si>
  <si>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</si>
  <si>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</si>
  <si>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</si>
  <si>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</si>
  <si>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</si>
  <si>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</si>
  <si>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</si>
  <si>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</si>
  <si>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</si>
  <si>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</si>
  <si>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</si>
  <si>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</si>
  <si>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</si>
  <si>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</si>
  <si>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</si>
  <si>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</si>
  <si>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</si>
  <si>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</si>
  <si>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</si>
  <si>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</si>
  <si>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</si>
  <si>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</si>
  <si>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</si>
  <si>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</si>
  <si>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</si>
  <si>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xx</t>
  </si>
  <si>
    <t>function</t>
  </si>
  <si>
    <t>return</t>
  </si>
  <si>
    <t>parameters</t>
  </si>
  <si>
    <t>Energy Loss In Matter</t>
  </si>
  <si>
    <t>Range In Matter</t>
  </si>
  <si>
    <t>Range  in mg/cm2</t>
  </si>
  <si>
    <t>%</t>
  </si>
  <si>
    <t>Zparticle=</t>
  </si>
  <si>
    <t>Aparticle=</t>
  </si>
  <si>
    <t>Ztarget=</t>
  </si>
  <si>
    <t>Atarget=</t>
  </si>
  <si>
    <t>Energy=</t>
  </si>
  <si>
    <t>example</t>
  </si>
  <si>
    <t>Thickness=</t>
  </si>
  <si>
    <t>mg/cm2</t>
  </si>
  <si>
    <t>ZmQ=</t>
  </si>
  <si>
    <t>names</t>
  </si>
  <si>
    <t>Energy loss
calculation method</t>
  </si>
  <si>
    <t>Charge State
calculation methods</t>
  </si>
  <si>
    <t>get  element mass</t>
  </si>
  <si>
    <t>Element Name</t>
  </si>
  <si>
    <t>Element Name -&gt; Z (int)</t>
  </si>
  <si>
    <t>Show_Z</t>
  </si>
  <si>
    <t>Show_Element</t>
  </si>
  <si>
    <t>Mkm2Mg</t>
  </si>
  <si>
    <t>micron</t>
  </si>
  <si>
    <t>Mg2Mkm</t>
  </si>
  <si>
    <t>mg/cm2 -&gt; microns</t>
  </si>
  <si>
    <t>microns -&gt; mg/cm2</t>
  </si>
  <si>
    <t>Thickness [mg/cm2]
Ztarget</t>
  </si>
  <si>
    <t>Thickness [micron]
Ztarget</t>
  </si>
  <si>
    <t>current state = 1</t>
  </si>
  <si>
    <t>Energy Straggling
calculation methods</t>
  </si>
  <si>
    <t>energy straggling 
in material [MeV/u]</t>
  </si>
  <si>
    <t>MeV/u</t>
  </si>
  <si>
    <t>StragglingEnergy</t>
  </si>
  <si>
    <t>StragglingRange</t>
  </si>
  <si>
    <t>range straggling 
in material [mg/cm2]</t>
  </si>
  <si>
    <t>Energy2Beta</t>
  </si>
  <si>
    <t>Zparticle, Aparticle
Energy [MeV/u]
Ztarget</t>
  </si>
  <si>
    <t>Zparticle, Aparticle
Energy [MeV/u]
Ztarget
Thickness [mg/cm2]</t>
  </si>
  <si>
    <t>Energy [MeV/u]
Zparticle, Ztarget
Zpart-Qpart</t>
  </si>
  <si>
    <t>Rest energy in MeV/u</t>
  </si>
  <si>
    <t>Energy [MeV/u]</t>
  </si>
  <si>
    <t>transformation
Energy [MeV/u] to Beta</t>
  </si>
  <si>
    <t>Beta2Energy</t>
  </si>
  <si>
    <t>transformation
Beta to Energy [MeV/u]</t>
  </si>
  <si>
    <t>beta</t>
  </si>
  <si>
    <t>Gamma2Beta</t>
  </si>
  <si>
    <t>Beta2Gamma</t>
  </si>
  <si>
    <t>transformation
Gamma to Beta</t>
  </si>
  <si>
    <t>transformation
Beta to Gamma</t>
  </si>
  <si>
    <t>gamma</t>
  </si>
  <si>
    <t>transformation
Gamma to Energy [MeV/u]</t>
  </si>
  <si>
    <t>Energy2Gamma</t>
  </si>
  <si>
    <t>transformation
Energy [MeV/u] to Gamma</t>
  </si>
  <si>
    <t>Gamma2Energy</t>
  </si>
  <si>
    <t>Energy2Brho</t>
  </si>
  <si>
    <t>Brho2Energy</t>
  </si>
  <si>
    <t>transformation
Brho[Tm] to 
Energy [MeV/u]</t>
  </si>
  <si>
    <t>transformation
Energy [MeV/u]
 to Brho [Tm]</t>
  </si>
  <si>
    <t xml:space="preserve">Brho [Tm]
Mparticle, Qparticle </t>
  </si>
  <si>
    <t xml:space="preserve">Energy [MeV/u]
Mparticle, Qparticle </t>
  </si>
  <si>
    <t>EPAX</t>
  </si>
  <si>
    <t>Zparticle, Aparticle,
Ztarget, Atarget,
Zfragment, Afragment</t>
  </si>
  <si>
    <t>Cross section
(EPAX 2.15)
[mb]</t>
  </si>
  <si>
    <t>mb</t>
  </si>
  <si>
    <t>you may change</t>
  </si>
  <si>
    <t xml:space="preserve"> values of top cells</t>
  </si>
  <si>
    <t>Zfragment=</t>
  </si>
  <si>
    <t>Afragment=</t>
  </si>
  <si>
    <t>Stopping power</t>
  </si>
  <si>
    <t>MeV/(mg/cm2)</t>
  </si>
  <si>
    <t>Hubert  -  option=0</t>
  </si>
  <si>
    <t>Zigler  -  option=1</t>
  </si>
  <si>
    <t>Atima  -  option=2</t>
  </si>
  <si>
    <t>Atima without LS  -  option=3</t>
  </si>
  <si>
    <t>Brho1=</t>
  </si>
  <si>
    <t>Brho2=</t>
  </si>
  <si>
    <t>plot</t>
  </si>
  <si>
    <t>acquisition</t>
  </si>
  <si>
    <t>channel</t>
  </si>
  <si>
    <t>dim</t>
  </si>
  <si>
    <t>range</t>
  </si>
  <si>
    <t>min</t>
  </si>
  <si>
    <t>max</t>
  </si>
  <si>
    <t>phys.value</t>
  </si>
  <si>
    <t>beta2</t>
  </si>
  <si>
    <t>de_v</t>
  </si>
  <si>
    <t>AoQ</t>
  </si>
  <si>
    <t>AoQ * Z</t>
  </si>
  <si>
    <t>Q</t>
  </si>
  <si>
    <t>AoQ * Q</t>
  </si>
  <si>
    <t>RF1-1</t>
  </si>
  <si>
    <t>ns</t>
  </si>
  <si>
    <t>RF1-2</t>
  </si>
  <si>
    <t>RF2-1</t>
  </si>
  <si>
    <t>RF2-2</t>
  </si>
  <si>
    <t>pin.E</t>
  </si>
  <si>
    <t>MeV</t>
  </si>
  <si>
    <t>sci.DE</t>
  </si>
  <si>
    <t>TKE =</t>
  </si>
  <si>
    <t>cell to edit</t>
  </si>
  <si>
    <t>section</t>
  </si>
  <si>
    <t>first</t>
  </si>
  <si>
    <t>second</t>
  </si>
  <si>
    <t>final</t>
  </si>
  <si>
    <t>Energy</t>
  </si>
  <si>
    <t>MeV/A</t>
  </si>
  <si>
    <t>A</t>
  </si>
  <si>
    <t>TOF</t>
  </si>
  <si>
    <t>Q1</t>
  </si>
  <si>
    <t>TKE</t>
  </si>
  <si>
    <t>Q2</t>
  </si>
  <si>
    <t>az</t>
  </si>
  <si>
    <t>(for bz=0)</t>
  </si>
  <si>
    <t>dE_v</t>
  </si>
  <si>
    <t>pid.rf1</t>
  </si>
  <si>
    <t>pid.rf2</t>
  </si>
  <si>
    <t>a_tof=</t>
  </si>
  <si>
    <t>ns/ch</t>
  </si>
  <si>
    <t>a_tof2=</t>
  </si>
  <si>
    <t>b_tof=</t>
  </si>
  <si>
    <t>b_tof2=</t>
  </si>
  <si>
    <t>shift=</t>
  </si>
  <si>
    <t>shift2=</t>
  </si>
  <si>
    <t>fp.pin</t>
  </si>
  <si>
    <t>fp.sci</t>
  </si>
  <si>
    <t>a_pin_de=</t>
  </si>
  <si>
    <t>MeV/ch</t>
  </si>
  <si>
    <t>a_sci_de=</t>
  </si>
  <si>
    <t>b_pin_de=</t>
  </si>
  <si>
    <t>b_sci_de=</t>
  </si>
  <si>
    <t>Material_pin=</t>
  </si>
  <si>
    <t>Thickness_pin=</t>
  </si>
  <si>
    <t>different</t>
  </si>
  <si>
    <t>HF=</t>
  </si>
  <si>
    <t>pid.Z</t>
  </si>
  <si>
    <t>shift_calc=</t>
  </si>
  <si>
    <t>a_z=</t>
  </si>
  <si>
    <t>b_z=</t>
  </si>
  <si>
    <t>length1=</t>
  </si>
  <si>
    <t>m</t>
  </si>
  <si>
    <t>length2=</t>
  </si>
  <si>
    <t>radius=</t>
  </si>
  <si>
    <t>mass_58Ni=</t>
  </si>
  <si>
    <t>aem</t>
  </si>
  <si>
    <t>relat_PPAC_dE=</t>
  </si>
  <si>
    <t>c_speed=</t>
  </si>
  <si>
    <t>m/ns</t>
  </si>
  <si>
    <t>aem=</t>
  </si>
  <si>
    <t>information</t>
  </si>
  <si>
    <t>slopeX=</t>
  </si>
  <si>
    <t>cells to edit</t>
  </si>
  <si>
    <t>offsetX=</t>
  </si>
  <si>
    <t>protected cells</t>
  </si>
  <si>
    <t>slope_Brho=</t>
  </si>
  <si>
    <t>dispersion=</t>
  </si>
  <si>
    <t>mm/%</t>
  </si>
  <si>
    <t>Oleg Tarasov</t>
  </si>
  <si>
    <t>tarasov@nscl.msu.edu</t>
  </si>
  <si>
    <t>www.nscl.msu.edu/~tarasov</t>
  </si>
  <si>
    <t>dnr080.jinr.ru</t>
  </si>
  <si>
    <t>code LISE++</t>
  </si>
  <si>
    <t>www.nscl.msu.edu/lise</t>
  </si>
  <si>
    <t>dnr080.jinr.ru/lise</t>
  </si>
  <si>
    <t>Momentum2Energy</t>
  </si>
  <si>
    <t>Energy2Momentum</t>
  </si>
  <si>
    <t>transformation
Momentum[MeV/c] to 
Energy [MeV/u]</t>
  </si>
  <si>
    <t>transformation
Energy [MeV/u]
 to Momentum [MeV/c]</t>
  </si>
  <si>
    <t xml:space="preserve">Momentum [MeV/c]
Qparticle </t>
  </si>
  <si>
    <t xml:space="preserve">Energy [MeV/u]
Qparticle </t>
  </si>
  <si>
    <t>Brho2Momentum</t>
  </si>
  <si>
    <t>Momentum2Brho</t>
  </si>
  <si>
    <t xml:space="preserve">Energy [MeV/u]
Mparticle </t>
  </si>
  <si>
    <t xml:space="preserve">Momentum [MeV/c]
Mparticle </t>
  </si>
  <si>
    <t>transformation
Brho [Tm]
 to Momentum [MeV/c]</t>
  </si>
  <si>
    <t>transformation
Momentum[MeV/c] to 
Brho [Tm]</t>
  </si>
  <si>
    <t>Energy [MeV/u]
Zparticle, Ztarget
Zpart-Qpart, Option</t>
  </si>
  <si>
    <t>Charge state option =</t>
  </si>
  <si>
    <t>Range option =</t>
  </si>
  <si>
    <t>Energy loss option =</t>
  </si>
  <si>
    <t>Range In Matter
with option</t>
  </si>
  <si>
    <t>Zparticle, Aparticle
Energy [MeV/u]
Ztarget, option</t>
  </si>
  <si>
    <t>Energy Loss In Matter
with option</t>
  </si>
  <si>
    <t>Zparticle, Aparticle
Energy [MeV/u]
Ztarget, Thickness [mg/cm2]</t>
  </si>
  <si>
    <t>Zparticle, Aparticle
Energy [MeV/u], Ztarget
Thickness [mg/cm2],option</t>
  </si>
  <si>
    <t>Zparticle, Aparticle
Energy [MeV/u]
Ztarget, Thick [mg/cm2]</t>
  </si>
  <si>
    <t>RESULT</t>
  </si>
  <si>
    <t>RESULT=</t>
  </si>
  <si>
    <t>Equilibrium thickness</t>
  </si>
  <si>
    <t>&lt;Q&gt;  /average/</t>
  </si>
  <si>
    <t>dQ  /st.deviation/</t>
  </si>
  <si>
    <t>Z - Q = 0</t>
  </si>
  <si>
    <t>Z - Q = 1</t>
  </si>
  <si>
    <t>Z - Q = 2</t>
  </si>
  <si>
    <t>Z - Q = 4</t>
  </si>
  <si>
    <t>Z - Q = 3</t>
  </si>
  <si>
    <t>Z - Q = 5</t>
  </si>
  <si>
    <t>Z - Q = 6</t>
  </si>
  <si>
    <t>part</t>
  </si>
  <si>
    <t>0-slow / 1-fast / 2 -superfast</t>
  </si>
  <si>
    <t>Options</t>
  </si>
  <si>
    <t>If result is equal -776,-777 or -778  ---  you got error!</t>
  </si>
  <si>
    <t>check input parameters</t>
  </si>
  <si>
    <t>Description</t>
  </si>
  <si>
    <t>Dimens</t>
  </si>
  <si>
    <t>initial input charge</t>
  </si>
  <si>
    <t>Mass of projectile</t>
  </si>
  <si>
    <t>Element number of proj.</t>
  </si>
  <si>
    <t>Mass of target</t>
  </si>
  <si>
    <t>Element number of target</t>
  </si>
  <si>
    <t>Option (see bottom table)</t>
  </si>
  <si>
    <t>GlobalCode(ZmQ_out; Aparticle; Zparticle; ZmQ_in; Energy; Atarget; Ztarget; Thickness; Option; Fast)</t>
  </si>
  <si>
    <t>Charge State *</t>
  </si>
  <si>
    <t>Charge State *
with option</t>
  </si>
  <si>
    <t xml:space="preserve">* -  Equilibrium distribution is suggested </t>
  </si>
  <si>
    <t>E final : final energy of projectile after Equilibrium thickness</t>
  </si>
  <si>
    <t>E init :  initial energy of projectile before Equilibrium thickness</t>
  </si>
  <si>
    <t>ZmQ_in=</t>
  </si>
  <si>
    <t>Option=</t>
  </si>
  <si>
    <t>Fast=</t>
  </si>
  <si>
    <t>ZmQ_out=</t>
  </si>
  <si>
    <t>0/1- at target  (Einit/Efinal);  2/3 -equilibrium (Einit/Efinal)</t>
  </si>
  <si>
    <t>Energy after/before target</t>
  </si>
  <si>
    <t>MeV/u   (init or final : depends from option')</t>
  </si>
  <si>
    <t>Energy [MeV/u]
Zparticle, Ztarget,
option</t>
  </si>
  <si>
    <t>Charge
Mean Value *</t>
  </si>
  <si>
    <t>Charge 
dQ *</t>
  </si>
  <si>
    <t>Target=</t>
  </si>
  <si>
    <t>Winger</t>
  </si>
  <si>
    <t>Leon</t>
  </si>
  <si>
    <t>Schima</t>
  </si>
  <si>
    <t>Global</t>
  </si>
  <si>
    <t>Zbeam</t>
  </si>
  <si>
    <t>Ztarget</t>
  </si>
  <si>
    <t>Beam (Z) =</t>
  </si>
  <si>
    <t>Energy =</t>
  </si>
  <si>
    <t>Thickness</t>
  </si>
  <si>
    <t>Beam:</t>
  </si>
  <si>
    <t>Test</t>
  </si>
  <si>
    <t>Brho (Tm)</t>
  </si>
  <si>
    <t>Energy (MeV/u)</t>
  </si>
  <si>
    <t>Z Target</t>
  </si>
  <si>
    <t>Z Particle</t>
  </si>
  <si>
    <t>A Particle</t>
  </si>
  <si>
    <t>Degrader ID</t>
  </si>
  <si>
    <t>New Brho</t>
  </si>
  <si>
    <t>% Change</t>
  </si>
  <si>
    <t>Charge State</t>
  </si>
  <si>
    <t>New Energy (MeV/u)</t>
  </si>
  <si>
    <t>TGT</t>
  </si>
  <si>
    <t>WDG</t>
  </si>
  <si>
    <t>SCINT</t>
  </si>
  <si>
    <t>?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</si>
</sst>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0.0000"/>
    <numFmt numFmtId="177" formatCode="0.000"/>
    <numFmt numFmtId="178" formatCode="0.0"/>
    <numFmt numFmtId="179" formatCode="0.00000"/>
    <numFmt numFmtId="180" formatCode="0.000000"/>
    <numFmt numFmtId="181" formatCode="0.0000000"/>
    <numFmt numFmtId="182" formatCode="0.0E+00"/>
    <numFmt numFmtId="183" formatCode="0E+00"/>
    <numFmt numFmtId="184" formatCode="0.000E+00"/>
    <numFmt numFmtId="185" formatCode="0.0000E+00"/>
    <numFmt numFmtId="186" formatCode="0.00000E+00"/>
    <numFmt numFmtId="187" formatCode="0.000000E+00"/>
    <numFmt numFmtId="188" formatCode="0.00000000"/>
    <numFmt numFmtId="189" formatCode="0.000000000000000"/>
    <numFmt numFmtId="190" formatCode="0.00000000000000"/>
    <numFmt numFmtId="191" formatCode="0.0000000000000"/>
    <numFmt numFmtId="192" formatCode="0.000000000000"/>
    <numFmt numFmtId="193" formatCode="0.00000000000"/>
    <numFmt numFmtId="194" formatCode="0.0000000000"/>
    <numFmt numFmtId="195" formatCode="0.000000000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NTHarmonica"/>
      <family val="0"/>
    </font>
    <font>
      <b/>
      <sz val="10"/>
      <color indexed="10"/>
      <name val="NTHarmonica"/>
      <family val="0"/>
    </font>
    <font>
      <i/>
      <sz val="8"/>
      <name val="NTHarmonica"/>
      <family val="0"/>
    </font>
    <font>
      <b/>
      <i/>
      <sz val="8"/>
      <name val="NTHarmonica"/>
      <family val="0"/>
    </font>
    <font>
      <b/>
      <sz val="10"/>
      <name val="NTHarmonica"/>
      <family val="0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5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sz val="10"/>
      <color indexed="47"/>
      <name val="Arial"/>
      <family val="2"/>
    </font>
    <font>
      <b/>
      <i/>
      <sz val="10"/>
      <color indexed="10"/>
      <name val="Arial"/>
      <family val="2"/>
    </font>
    <font>
      <sz val="10"/>
      <color indexed="18"/>
      <name val="Arial"/>
      <family val="2"/>
    </font>
    <font>
      <b/>
      <sz val="14.25"/>
      <name val="Arial"/>
      <family val="0"/>
    </font>
    <font>
      <b/>
      <sz val="10.5"/>
      <name val="Arial"/>
      <family val="0"/>
    </font>
    <font>
      <sz val="12"/>
      <name val="Arial"/>
      <family val="0"/>
    </font>
    <font>
      <sz val="10"/>
      <color indexed="10"/>
      <name val="Arial"/>
      <family val="2"/>
    </font>
    <font>
      <b/>
      <sz val="10.25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2" borderId="0" xfId="21" applyFont="1" applyFill="1" applyAlignment="1">
      <alignment horizontal="center"/>
      <protection/>
    </xf>
    <xf numFmtId="0" fontId="5" fillId="3" borderId="1" xfId="21" applyFont="1" applyFill="1" applyBorder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3" borderId="1" xfId="21" applyFont="1" applyFill="1" applyBorder="1" applyAlignment="1">
      <alignment horizontal="center"/>
      <protection/>
    </xf>
    <xf numFmtId="0" fontId="4" fillId="0" borderId="0" xfId="21" applyAlignment="1">
      <alignment horizontal="center"/>
      <protection/>
    </xf>
    <xf numFmtId="2" fontId="8" fillId="3" borderId="1" xfId="21" applyNumberFormat="1" applyFont="1" applyFill="1" applyBorder="1" applyAlignment="1">
      <alignment horizontal="center"/>
      <protection/>
    </xf>
    <xf numFmtId="177" fontId="4" fillId="0" borderId="0" xfId="21" applyNumberFormat="1" applyAlignment="1">
      <alignment horizontal="center"/>
      <protection/>
    </xf>
    <xf numFmtId="0" fontId="4" fillId="0" borderId="0" xfId="21">
      <alignment/>
      <protection/>
    </xf>
    <xf numFmtId="0" fontId="8" fillId="3" borderId="1" xfId="21" applyFont="1" applyFill="1" applyBorder="1">
      <alignment/>
      <protection/>
    </xf>
    <xf numFmtId="0" fontId="8" fillId="4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79" fontId="4" fillId="0" borderId="0" xfId="21" applyNumberFormat="1">
      <alignment/>
      <protection/>
    </xf>
    <xf numFmtId="0" fontId="13" fillId="3" borderId="0" xfId="0" applyFont="1" applyFill="1" applyAlignment="1" applyProtection="1">
      <alignment horizontal="center" vertical="center" wrapText="1"/>
      <protection/>
    </xf>
    <xf numFmtId="0" fontId="13" fillId="5" borderId="0" xfId="0" applyFont="1" applyFill="1" applyAlignment="1" applyProtection="1">
      <alignment horizontal="center" vertical="center" wrapText="1"/>
      <protection/>
    </xf>
    <xf numFmtId="0" fontId="13" fillId="6" borderId="0" xfId="0" applyFont="1" applyFill="1" applyAlignment="1" applyProtection="1">
      <alignment horizontal="center" vertical="center" wrapText="1"/>
      <protection/>
    </xf>
    <xf numFmtId="0" fontId="0" fillId="3" borderId="0" xfId="0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0" fillId="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15" fillId="0" borderId="2" xfId="0" applyFont="1" applyBorder="1" applyAlignment="1" applyProtection="1">
      <alignment horizontal="left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4" fillId="3" borderId="4" xfId="0" applyFont="1" applyFill="1" applyBorder="1" applyAlignment="1" applyProtection="1">
      <alignment horizontal="right" vertical="center"/>
      <protection/>
    </xf>
    <xf numFmtId="0" fontId="14" fillId="3" borderId="5" xfId="0" applyFont="1" applyFill="1" applyBorder="1" applyAlignment="1" applyProtection="1">
      <alignment horizontal="right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left" vertical="center"/>
      <protection locked="0"/>
    </xf>
    <xf numFmtId="0" fontId="16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 applyProtection="1">
      <alignment horizontal="left" vertical="center"/>
      <protection locked="0"/>
    </xf>
    <xf numFmtId="0" fontId="10" fillId="5" borderId="6" xfId="0" applyFont="1" applyFill="1" applyBorder="1" applyAlignment="1" applyProtection="1">
      <alignment horizontal="center" vertical="center" wrapText="1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10" fillId="5" borderId="11" xfId="0" applyFont="1" applyFill="1" applyBorder="1" applyAlignment="1" applyProtection="1">
      <alignment horizontal="center" vertical="center" wrapText="1"/>
      <protection/>
    </xf>
    <xf numFmtId="0" fontId="0" fillId="5" borderId="11" xfId="0" applyFill="1" applyBorder="1" applyAlignment="1" applyProtection="1">
      <alignment horizontal="center" vertical="center" wrapText="1"/>
      <protection/>
    </xf>
    <xf numFmtId="0" fontId="1" fillId="5" borderId="10" xfId="0" applyFont="1" applyFill="1" applyBorder="1" applyAlignment="1" applyProtection="1">
      <alignment horizontal="center" vertical="center" wrapText="1"/>
      <protection/>
    </xf>
    <xf numFmtId="0" fontId="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10" fillId="7" borderId="6" xfId="0" applyFont="1" applyFill="1" applyBorder="1" applyAlignment="1" applyProtection="1">
      <alignment horizontal="center" vertical="center"/>
      <protection/>
    </xf>
    <xf numFmtId="0" fontId="0" fillId="7" borderId="6" xfId="0" applyFill="1" applyBorder="1" applyAlignment="1" applyProtection="1">
      <alignment horizontal="center" vertical="center" wrapText="1"/>
      <protection/>
    </xf>
    <xf numFmtId="0" fontId="10" fillId="7" borderId="11" xfId="0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8" borderId="13" xfId="0" applyFont="1" applyFill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center" vertical="center"/>
      <protection/>
    </xf>
    <xf numFmtId="0" fontId="9" fillId="8" borderId="15" xfId="0" applyFont="1" applyFill="1" applyBorder="1" applyAlignment="1" applyProtection="1">
      <alignment horizontal="center" vertical="center"/>
      <protection/>
    </xf>
    <xf numFmtId="0" fontId="11" fillId="5" borderId="16" xfId="0" applyFont="1" applyFill="1" applyBorder="1" applyAlignment="1" applyProtection="1">
      <alignment horizontal="center" vertical="center"/>
      <protection/>
    </xf>
    <xf numFmtId="0" fontId="11" fillId="5" borderId="17" xfId="0" applyFont="1" applyFill="1" applyBorder="1" applyAlignment="1" applyProtection="1">
      <alignment horizontal="center" vertical="center"/>
      <protection/>
    </xf>
    <xf numFmtId="0" fontId="11" fillId="5" borderId="18" xfId="0" applyFont="1" applyFill="1" applyBorder="1" applyAlignment="1" applyProtection="1">
      <alignment horizontal="center" vertical="center"/>
      <protection/>
    </xf>
    <xf numFmtId="0" fontId="11" fillId="7" borderId="16" xfId="0" applyFont="1" applyFill="1" applyBorder="1" applyAlignment="1" applyProtection="1">
      <alignment horizontal="center" vertical="center"/>
      <protection/>
    </xf>
    <xf numFmtId="0" fontId="11" fillId="7" borderId="17" xfId="0" applyFont="1" applyFill="1" applyBorder="1" applyAlignment="1" applyProtection="1">
      <alignment horizontal="center" vertical="center"/>
      <protection/>
    </xf>
    <xf numFmtId="0" fontId="11" fillId="5" borderId="19" xfId="0" applyFont="1" applyFill="1" applyBorder="1" applyAlignment="1" applyProtection="1">
      <alignment horizontal="center" vertical="center"/>
      <protection/>
    </xf>
    <xf numFmtId="0" fontId="11" fillId="7" borderId="19" xfId="0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0" fillId="7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1" fillId="5" borderId="6" xfId="0" applyNumberFormat="1" applyFont="1" applyFill="1" applyBorder="1" applyAlignment="1" applyProtection="1">
      <alignment horizontal="center" vertical="center"/>
      <protection/>
    </xf>
    <xf numFmtId="0" fontId="1" fillId="5" borderId="6" xfId="0" applyFont="1" applyFill="1" applyBorder="1" applyAlignment="1" applyProtection="1">
      <alignment horizontal="center" vertical="center"/>
      <protection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10" xfId="0" applyFont="1" applyFill="1" applyBorder="1" applyAlignment="1" applyProtection="1">
      <alignment horizontal="center" vertical="center"/>
      <protection/>
    </xf>
    <xf numFmtId="177" fontId="1" fillId="7" borderId="6" xfId="0" applyNumberFormat="1" applyFont="1" applyFill="1" applyBorder="1" applyAlignment="1" applyProtection="1">
      <alignment horizontal="center" vertical="center"/>
      <protection/>
    </xf>
    <xf numFmtId="0" fontId="1" fillId="7" borderId="11" xfId="0" applyFont="1" applyFill="1" applyBorder="1" applyAlignment="1" applyProtection="1">
      <alignment horizontal="center" vertical="center"/>
      <protection/>
    </xf>
    <xf numFmtId="178" fontId="1" fillId="5" borderId="10" xfId="0" applyNumberFormat="1" applyFont="1" applyFill="1" applyBorder="1" applyAlignment="1" applyProtection="1">
      <alignment horizontal="center" vertical="center"/>
      <protection/>
    </xf>
    <xf numFmtId="179" fontId="1" fillId="5" borderId="10" xfId="0" applyNumberFormat="1" applyFont="1" applyFill="1" applyBorder="1" applyAlignment="1" applyProtection="1">
      <alignment horizontal="center" vertical="center"/>
      <protection/>
    </xf>
    <xf numFmtId="176" fontId="1" fillId="5" borderId="10" xfId="0" applyNumberFormat="1" applyFont="1" applyFill="1" applyBorder="1" applyAlignment="1" applyProtection="1">
      <alignment horizontal="center" vertical="center"/>
      <protection/>
    </xf>
    <xf numFmtId="176" fontId="1" fillId="5" borderId="12" xfId="0" applyNumberFormat="1" applyFont="1" applyFill="1" applyBorder="1" applyAlignment="1" applyProtection="1">
      <alignment horizontal="center" vertical="center"/>
      <protection/>
    </xf>
    <xf numFmtId="11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right" vertical="center"/>
      <protection/>
    </xf>
    <xf numFmtId="179" fontId="1" fillId="7" borderId="6" xfId="0" applyNumberFormat="1" applyFont="1" applyFill="1" applyBorder="1" applyAlignment="1" applyProtection="1">
      <alignment horizontal="center" vertical="center"/>
      <protection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1" fillId="5" borderId="21" xfId="0" applyFont="1" applyFill="1" applyBorder="1" applyAlignment="1" applyProtection="1">
      <alignment horizontal="center" vertical="center"/>
      <protection/>
    </xf>
    <xf numFmtId="0" fontId="10" fillId="5" borderId="22" xfId="0" applyFont="1" applyFill="1" applyBorder="1" applyAlignment="1" applyProtection="1">
      <alignment horizontal="center" vertical="center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16" fillId="9" borderId="20" xfId="0" applyFont="1" applyFill="1" applyBorder="1" applyAlignment="1" applyProtection="1">
      <alignment horizontal="right"/>
      <protection/>
    </xf>
    <xf numFmtId="0" fontId="16" fillId="5" borderId="23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6" fillId="9" borderId="5" xfId="0" applyFont="1" applyFill="1" applyBorder="1" applyAlignment="1" applyProtection="1">
      <alignment horizontal="right"/>
      <protection/>
    </xf>
    <xf numFmtId="0" fontId="16" fillId="5" borderId="3" xfId="0" applyFont="1" applyFill="1" applyBorder="1" applyAlignment="1" applyProtection="1">
      <alignment horizontal="left"/>
      <protection locked="0"/>
    </xf>
    <xf numFmtId="0" fontId="1" fillId="9" borderId="24" xfId="0" applyFont="1" applyFill="1" applyBorder="1" applyAlignment="1" applyProtection="1">
      <alignment horizontal="center"/>
      <protection/>
    </xf>
    <xf numFmtId="0" fontId="1" fillId="9" borderId="25" xfId="0" applyFont="1" applyFill="1" applyBorder="1" applyAlignment="1" applyProtection="1">
      <alignment horizontal="center"/>
      <protection/>
    </xf>
    <xf numFmtId="0" fontId="1" fillId="9" borderId="26" xfId="0" applyFont="1" applyFill="1" applyBorder="1" applyAlignment="1" applyProtection="1">
      <alignment horizontal="center"/>
      <protection/>
    </xf>
    <xf numFmtId="0" fontId="1" fillId="10" borderId="24" xfId="0" applyFont="1" applyFill="1" applyBorder="1" applyAlignment="1" applyProtection="1">
      <alignment horizontal="center"/>
      <protection/>
    </xf>
    <xf numFmtId="0" fontId="1" fillId="10" borderId="25" xfId="0" applyFont="1" applyFill="1" applyBorder="1" applyAlignment="1" applyProtection="1">
      <alignment horizontal="center"/>
      <protection/>
    </xf>
    <xf numFmtId="0" fontId="1" fillId="10" borderId="26" xfId="0" applyFont="1" applyFill="1" applyBorder="1" applyAlignment="1" applyProtection="1">
      <alignment horizontal="center"/>
      <protection/>
    </xf>
    <xf numFmtId="0" fontId="1" fillId="10" borderId="6" xfId="0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7" borderId="24" xfId="0" applyFont="1" applyFill="1" applyBorder="1" applyAlignment="1" applyProtection="1">
      <alignment horizontal="center"/>
      <protection/>
    </xf>
    <xf numFmtId="0" fontId="1" fillId="7" borderId="26" xfId="0" applyFont="1" applyFill="1" applyBorder="1" applyAlignment="1" applyProtection="1">
      <alignment horizontal="center"/>
      <protection/>
    </xf>
    <xf numFmtId="0" fontId="1" fillId="9" borderId="27" xfId="0" applyFont="1" applyFill="1" applyBorder="1" applyAlignment="1" applyProtection="1">
      <alignment horizontal="center"/>
      <protection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2" fontId="0" fillId="3" borderId="4" xfId="0" applyNumberFormat="1" applyFont="1" applyFill="1" applyBorder="1" applyAlignment="1" applyProtection="1">
      <alignment horizontal="right"/>
      <protection/>
    </xf>
    <xf numFmtId="0" fontId="20" fillId="3" borderId="2" xfId="0" applyFont="1" applyFill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 horizontal="center"/>
      <protection/>
    </xf>
    <xf numFmtId="176" fontId="0" fillId="0" borderId="0" xfId="0" applyNumberFormat="1" applyBorder="1" applyAlignment="1" applyProtection="1">
      <alignment horizontal="center"/>
      <protection/>
    </xf>
    <xf numFmtId="177" fontId="0" fillId="0" borderId="2" xfId="0" applyNumberFormat="1" applyBorder="1" applyAlignment="1" applyProtection="1">
      <alignment horizontal="center"/>
      <protection/>
    </xf>
    <xf numFmtId="2" fontId="1" fillId="9" borderId="4" xfId="0" applyNumberFormat="1" applyFont="1" applyFill="1" applyBorder="1" applyAlignment="1" applyProtection="1">
      <alignment horizontal="center"/>
      <protection/>
    </xf>
    <xf numFmtId="2" fontId="1" fillId="9" borderId="2" xfId="0" applyNumberFormat="1" applyFont="1" applyFill="1" applyBorder="1" applyAlignment="1" applyProtection="1">
      <alignment horizontal="center"/>
      <protection/>
    </xf>
    <xf numFmtId="2" fontId="0" fillId="7" borderId="4" xfId="0" applyNumberFormat="1" applyFill="1" applyBorder="1" applyAlignment="1" applyProtection="1">
      <alignment horizontal="center"/>
      <protection/>
    </xf>
    <xf numFmtId="2" fontId="0" fillId="7" borderId="2" xfId="0" applyNumberFormat="1" applyFill="1" applyBorder="1" applyAlignment="1" applyProtection="1">
      <alignment horizontal="center"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2" fontId="0" fillId="3" borderId="5" xfId="0" applyNumberFormat="1" applyFont="1" applyFill="1" applyBorder="1" applyAlignment="1" applyProtection="1">
      <alignment horizontal="right"/>
      <protection/>
    </xf>
    <xf numFmtId="0" fontId="20" fillId="3" borderId="3" xfId="0" applyFont="1" applyFill="1" applyBorder="1" applyAlignment="1" applyProtection="1">
      <alignment horizontal="left"/>
      <protection/>
    </xf>
    <xf numFmtId="0" fontId="1" fillId="9" borderId="1" xfId="0" applyFont="1" applyFill="1" applyBorder="1" applyAlignment="1" applyProtection="1">
      <alignment horizontal="center"/>
      <protection/>
    </xf>
    <xf numFmtId="176" fontId="0" fillId="0" borderId="5" xfId="0" applyNumberFormat="1" applyBorder="1" applyAlignment="1" applyProtection="1">
      <alignment horizontal="center"/>
      <protection/>
    </xf>
    <xf numFmtId="176" fontId="0" fillId="0" borderId="28" xfId="0" applyNumberFormat="1" applyBorder="1" applyAlignment="1" applyProtection="1">
      <alignment horizontal="center"/>
      <protection/>
    </xf>
    <xf numFmtId="177" fontId="0" fillId="0" borderId="3" xfId="0" applyNumberFormat="1" applyBorder="1" applyAlignment="1" applyProtection="1">
      <alignment horizontal="center"/>
      <protection/>
    </xf>
    <xf numFmtId="2" fontId="1" fillId="9" borderId="5" xfId="0" applyNumberFormat="1" applyFont="1" applyFill="1" applyBorder="1" applyAlignment="1" applyProtection="1">
      <alignment horizontal="center"/>
      <protection/>
    </xf>
    <xf numFmtId="2" fontId="1" fillId="9" borderId="3" xfId="0" applyNumberFormat="1" applyFont="1" applyFill="1" applyBorder="1" applyAlignment="1" applyProtection="1">
      <alignment horizontal="center"/>
      <protection/>
    </xf>
    <xf numFmtId="2" fontId="0" fillId="7" borderId="5" xfId="0" applyNumberFormat="1" applyFill="1" applyBorder="1" applyAlignment="1" applyProtection="1">
      <alignment horizontal="center"/>
      <protection/>
    </xf>
    <xf numFmtId="2" fontId="0" fillId="7" borderId="3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Border="1" applyAlignment="1" applyProtection="1">
      <alignment/>
      <protection/>
    </xf>
    <xf numFmtId="178" fontId="0" fillId="0" borderId="0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right"/>
      <protection/>
    </xf>
    <xf numFmtId="2" fontId="0" fillId="0" borderId="25" xfId="0" applyNumberFormat="1" applyBorder="1" applyAlignment="1" applyProtection="1">
      <alignment horizontal="left"/>
      <protection/>
    </xf>
    <xf numFmtId="0" fontId="21" fillId="0" borderId="26" xfId="0" applyFont="1" applyFill="1" applyBorder="1" applyAlignment="1" applyProtection="1">
      <alignment horizontal="left"/>
      <protection/>
    </xf>
    <xf numFmtId="176" fontId="16" fillId="5" borderId="23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9" borderId="31" xfId="0" applyFill="1" applyBorder="1" applyAlignment="1" applyProtection="1">
      <alignment/>
      <protection/>
    </xf>
    <xf numFmtId="176" fontId="16" fillId="5" borderId="3" xfId="0" applyNumberFormat="1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22" fillId="10" borderId="5" xfId="0" applyFont="1" applyFill="1" applyBorder="1" applyAlignment="1" applyProtection="1">
      <alignment horizontal="center"/>
      <protection/>
    </xf>
    <xf numFmtId="0" fontId="22" fillId="10" borderId="3" xfId="0" applyFont="1" applyFill="1" applyBorder="1" applyAlignment="1" applyProtection="1">
      <alignment horizontal="center"/>
      <protection/>
    </xf>
    <xf numFmtId="0" fontId="1" fillId="9" borderId="33" xfId="0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2" fontId="23" fillId="10" borderId="4" xfId="0" applyNumberFormat="1" applyFont="1" applyFill="1" applyBorder="1" applyAlignment="1" applyProtection="1">
      <alignment horizontal="center"/>
      <protection/>
    </xf>
    <xf numFmtId="2" fontId="23" fillId="10" borderId="2" xfId="0" applyNumberFormat="1" applyFont="1" applyFill="1" applyBorder="1" applyAlignment="1" applyProtection="1">
      <alignment horizontal="center"/>
      <protection/>
    </xf>
    <xf numFmtId="2" fontId="0" fillId="9" borderId="35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77" fontId="23" fillId="10" borderId="4" xfId="0" applyNumberFormat="1" applyFont="1" applyFill="1" applyBorder="1" applyAlignment="1" applyProtection="1">
      <alignment horizontal="center"/>
      <protection/>
    </xf>
    <xf numFmtId="177" fontId="23" fillId="10" borderId="2" xfId="0" applyNumberFormat="1" applyFont="1" applyFill="1" applyBorder="1" applyAlignment="1" applyProtection="1">
      <alignment horizontal="center"/>
      <protection/>
    </xf>
    <xf numFmtId="177" fontId="0" fillId="9" borderId="35" xfId="0" applyNumberFormat="1" applyFill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center"/>
      <protection/>
    </xf>
    <xf numFmtId="0" fontId="24" fillId="5" borderId="2" xfId="0" applyFont="1" applyFill="1" applyBorder="1" applyAlignment="1" applyProtection="1">
      <alignment horizontal="center"/>
      <protection locked="0"/>
    </xf>
    <xf numFmtId="1" fontId="24" fillId="5" borderId="2" xfId="0" applyNumberFormat="1" applyFont="1" applyFill="1" applyBorder="1" applyAlignment="1" applyProtection="1">
      <alignment horizontal="center"/>
      <protection locked="0"/>
    </xf>
    <xf numFmtId="178" fontId="23" fillId="10" borderId="4" xfId="0" applyNumberFormat="1" applyFont="1" applyFill="1" applyBorder="1" applyAlignment="1" applyProtection="1">
      <alignment horizontal="center"/>
      <protection/>
    </xf>
    <xf numFmtId="178" fontId="23" fillId="10" borderId="2" xfId="0" applyNumberFormat="1" applyFont="1" applyFill="1" applyBorder="1" applyAlignment="1" applyProtection="1">
      <alignment horizontal="center"/>
      <protection/>
    </xf>
    <xf numFmtId="178" fontId="0" fillId="9" borderId="35" xfId="0" applyNumberFormat="1" applyFill="1" applyBorder="1" applyAlignment="1" applyProtection="1">
      <alignment horizontal="center"/>
      <protection/>
    </xf>
    <xf numFmtId="0" fontId="24" fillId="0" borderId="5" xfId="0" applyFont="1" applyBorder="1" applyAlignment="1" applyProtection="1">
      <alignment horizontal="center"/>
      <protection/>
    </xf>
    <xf numFmtId="1" fontId="24" fillId="5" borderId="3" xfId="0" applyNumberFormat="1" applyFont="1" applyFill="1" applyBorder="1" applyAlignment="1" applyProtection="1">
      <alignment horizontal="center"/>
      <protection locked="0"/>
    </xf>
    <xf numFmtId="0" fontId="13" fillId="0" borderId="36" xfId="0" applyFont="1" applyBorder="1" applyAlignment="1" applyProtection="1">
      <alignment horizontal="center"/>
      <protection/>
    </xf>
    <xf numFmtId="0" fontId="21" fillId="0" borderId="37" xfId="0" applyFont="1" applyBorder="1" applyAlignment="1" applyProtection="1">
      <alignment horizontal="center"/>
      <protection/>
    </xf>
    <xf numFmtId="178" fontId="23" fillId="10" borderId="38" xfId="0" applyNumberFormat="1" applyFont="1" applyFill="1" applyBorder="1" applyAlignment="1" applyProtection="1">
      <alignment horizontal="center"/>
      <protection/>
    </xf>
    <xf numFmtId="178" fontId="23" fillId="10" borderId="39" xfId="0" applyNumberFormat="1" applyFont="1" applyFill="1" applyBorder="1" applyAlignment="1" applyProtection="1">
      <alignment horizontal="center"/>
      <protection/>
    </xf>
    <xf numFmtId="176" fontId="0" fillId="9" borderId="40" xfId="0" applyNumberForma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5" fillId="11" borderId="4" xfId="0" applyFont="1" applyFill="1" applyBorder="1" applyAlignment="1" applyProtection="1">
      <alignment horizontal="center"/>
      <protection/>
    </xf>
    <xf numFmtId="178" fontId="0" fillId="0" borderId="1" xfId="0" applyNumberForma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178" fontId="16" fillId="0" borderId="2" xfId="0" applyNumberFormat="1" applyFont="1" applyBorder="1" applyAlignment="1" applyProtection="1">
      <alignment horizontal="center"/>
      <protection/>
    </xf>
    <xf numFmtId="0" fontId="25" fillId="11" borderId="5" xfId="0" applyFont="1" applyFill="1" applyBorder="1" applyAlignment="1" applyProtection="1">
      <alignment horizontal="center"/>
      <protection/>
    </xf>
    <xf numFmtId="178" fontId="0" fillId="0" borderId="10" xfId="0" applyNumberForma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178" fontId="0" fillId="3" borderId="5" xfId="0" applyNumberFormat="1" applyFont="1" applyFill="1" applyBorder="1" applyAlignment="1" applyProtection="1">
      <alignment horizontal="right"/>
      <protection/>
    </xf>
    <xf numFmtId="178" fontId="16" fillId="0" borderId="3" xfId="0" applyNumberFormat="1" applyFont="1" applyBorder="1" applyAlignment="1" applyProtection="1">
      <alignment horizontal="center"/>
      <protection/>
    </xf>
    <xf numFmtId="0" fontId="0" fillId="9" borderId="4" xfId="0" applyFill="1" applyBorder="1" applyAlignment="1" applyProtection="1">
      <alignment horizontal="right"/>
      <protection/>
    </xf>
    <xf numFmtId="179" fontId="0" fillId="3" borderId="0" xfId="0" applyNumberFormat="1" applyFill="1" applyBorder="1" applyAlignment="1" applyProtection="1">
      <alignment horizontal="left"/>
      <protection locked="0"/>
    </xf>
    <xf numFmtId="0" fontId="0" fillId="9" borderId="2" xfId="0" applyFill="1" applyBorder="1" applyAlignment="1" applyProtection="1">
      <alignment/>
      <protection/>
    </xf>
    <xf numFmtId="177" fontId="0" fillId="3" borderId="0" xfId="0" applyNumberFormat="1" applyFill="1" applyBorder="1" applyAlignment="1" applyProtection="1">
      <alignment horizontal="left"/>
      <protection locked="0"/>
    </xf>
    <xf numFmtId="0" fontId="0" fillId="9" borderId="5" xfId="0" applyFill="1" applyBorder="1" applyAlignment="1" applyProtection="1">
      <alignment horizontal="right"/>
      <protection/>
    </xf>
    <xf numFmtId="179" fontId="0" fillId="9" borderId="28" xfId="0" applyNumberFormat="1" applyFill="1" applyBorder="1" applyAlignment="1" applyProtection="1">
      <alignment horizontal="left"/>
      <protection/>
    </xf>
    <xf numFmtId="0" fontId="0" fillId="9" borderId="3" xfId="0" applyFill="1" applyBorder="1" applyAlignment="1" applyProtection="1">
      <alignment/>
      <protection/>
    </xf>
    <xf numFmtId="176" fontId="0" fillId="3" borderId="0" xfId="0" applyNumberFormat="1" applyFill="1" applyBorder="1" applyAlignment="1" applyProtection="1">
      <alignment horizontal="left"/>
      <protection locked="0"/>
    </xf>
    <xf numFmtId="176" fontId="0" fillId="3" borderId="28" xfId="0" applyNumberFormat="1" applyFill="1" applyBorder="1" applyAlignment="1" applyProtection="1">
      <alignment horizontal="left"/>
      <protection locked="0"/>
    </xf>
    <xf numFmtId="2" fontId="0" fillId="3" borderId="28" xfId="0" applyNumberFormat="1" applyFill="1" applyBorder="1" applyAlignment="1" applyProtection="1">
      <alignment horizontal="left"/>
      <protection locked="0"/>
    </xf>
    <xf numFmtId="178" fontId="0" fillId="3" borderId="28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0" fontId="0" fillId="3" borderId="0" xfId="0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 horizontal="left"/>
      <protection/>
    </xf>
    <xf numFmtId="179" fontId="0" fillId="3" borderId="28" xfId="0" applyNumberFormat="1" applyFill="1" applyBorder="1" applyAlignment="1" applyProtection="1">
      <alignment horizontal="left"/>
      <protection locked="0"/>
    </xf>
    <xf numFmtId="0" fontId="0" fillId="9" borderId="0" xfId="0" applyFill="1" applyBorder="1" applyAlignment="1" applyProtection="1">
      <alignment/>
      <protection/>
    </xf>
    <xf numFmtId="176" fontId="0" fillId="9" borderId="0" xfId="0" applyNumberFormat="1" applyFill="1" applyBorder="1" applyAlignment="1" applyProtection="1">
      <alignment horizontal="left"/>
      <protection/>
    </xf>
    <xf numFmtId="0" fontId="0" fillId="3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 horizontal="center"/>
      <protection/>
    </xf>
    <xf numFmtId="188" fontId="0" fillId="9" borderId="0" xfId="0" applyNumberFormat="1" applyFill="1" applyBorder="1" applyAlignment="1" applyProtection="1">
      <alignment horizontal="left"/>
      <protection/>
    </xf>
    <xf numFmtId="0" fontId="0" fillId="0" borderId="27" xfId="0" applyBorder="1" applyAlignment="1" applyProtection="1">
      <alignment horizontal="center"/>
      <protection/>
    </xf>
    <xf numFmtId="0" fontId="19" fillId="0" borderId="1" xfId="20" applyFill="1" applyBorder="1" applyAlignment="1" applyProtection="1">
      <alignment horizontal="center"/>
      <protection/>
    </xf>
    <xf numFmtId="0" fontId="19" fillId="0" borderId="1" xfId="20" applyBorder="1" applyAlignment="1" applyProtection="1">
      <alignment horizontal="center"/>
      <protection/>
    </xf>
    <xf numFmtId="0" fontId="19" fillId="0" borderId="10" xfId="20" applyFont="1" applyBorder="1" applyAlignment="1" applyProtection="1">
      <alignment horizontal="center"/>
      <protection/>
    </xf>
    <xf numFmtId="0" fontId="26" fillId="0" borderId="23" xfId="0" applyFont="1" applyBorder="1" applyAlignment="1" applyProtection="1">
      <alignment horizontal="center" vertical="center"/>
      <protection/>
    </xf>
    <xf numFmtId="0" fontId="0" fillId="5" borderId="41" xfId="0" applyFill="1" applyBorder="1" applyAlignment="1" applyProtection="1">
      <alignment horizontal="center" vertical="center"/>
      <protection/>
    </xf>
    <xf numFmtId="0" fontId="0" fillId="5" borderId="42" xfId="0" applyFill="1" applyBorder="1" applyAlignment="1" applyProtection="1">
      <alignment horizontal="center" vertical="center"/>
      <protection/>
    </xf>
    <xf numFmtId="0" fontId="0" fillId="5" borderId="24" xfId="0" applyFill="1" applyBorder="1" applyAlignment="1" applyProtection="1">
      <alignment horizontal="center" vertical="center"/>
      <protection/>
    </xf>
    <xf numFmtId="0" fontId="0" fillId="5" borderId="43" xfId="0" applyFill="1" applyBorder="1" applyAlignment="1" applyProtection="1">
      <alignment horizontal="center" vertical="center"/>
      <protection/>
    </xf>
    <xf numFmtId="0" fontId="0" fillId="5" borderId="44" xfId="0" applyFill="1" applyBorder="1" applyAlignment="1" applyProtection="1">
      <alignment horizontal="center" vertical="center"/>
      <protection/>
    </xf>
    <xf numFmtId="0" fontId="0" fillId="5" borderId="45" xfId="0" applyFill="1" applyBorder="1" applyAlignment="1" applyProtection="1">
      <alignment horizontal="center" vertical="center"/>
      <protection/>
    </xf>
    <xf numFmtId="0" fontId="0" fillId="5" borderId="5" xfId="0" applyFill="1" applyBorder="1" applyAlignment="1" applyProtection="1">
      <alignment horizontal="center" vertical="center"/>
      <protection/>
    </xf>
    <xf numFmtId="0" fontId="0" fillId="5" borderId="46" xfId="0" applyFill="1" applyBorder="1" applyAlignment="1" applyProtection="1">
      <alignment horizontal="center" vertical="center"/>
      <protection/>
    </xf>
    <xf numFmtId="0" fontId="11" fillId="5" borderId="47" xfId="0" applyFont="1" applyFill="1" applyBorder="1" applyAlignment="1" applyProtection="1">
      <alignment horizontal="center" vertical="center"/>
      <protection/>
    </xf>
    <xf numFmtId="0" fontId="1" fillId="5" borderId="48" xfId="0" applyFont="1" applyFill="1" applyBorder="1" applyAlignment="1" applyProtection="1">
      <alignment horizontal="center" vertical="center" wrapText="1"/>
      <protection/>
    </xf>
    <xf numFmtId="0" fontId="0" fillId="5" borderId="48" xfId="0" applyFill="1" applyBorder="1" applyAlignment="1" applyProtection="1">
      <alignment horizontal="center" vertical="center" wrapText="1"/>
      <protection/>
    </xf>
    <xf numFmtId="178" fontId="1" fillId="5" borderId="48" xfId="0" applyNumberFormat="1" applyFont="1" applyFill="1" applyBorder="1" applyAlignment="1" applyProtection="1">
      <alignment horizontal="center" vertical="center"/>
      <protection/>
    </xf>
    <xf numFmtId="0" fontId="11" fillId="5" borderId="21" xfId="0" applyFont="1" applyFill="1" applyBorder="1" applyAlignment="1" applyProtection="1">
      <alignment horizontal="center" vertical="center" wrapText="1"/>
      <protection/>
    </xf>
    <xf numFmtId="0" fontId="11" fillId="5" borderId="16" xfId="0" applyFont="1" applyFill="1" applyBorder="1" applyAlignment="1" applyProtection="1">
      <alignment horizontal="center" vertical="center" wrapText="1"/>
      <protection/>
    </xf>
    <xf numFmtId="0" fontId="14" fillId="3" borderId="0" xfId="0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77" fontId="1" fillId="5" borderId="2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3" fillId="3" borderId="24" xfId="0" applyFont="1" applyFill="1" applyBorder="1" applyAlignment="1" applyProtection="1">
      <alignment horizontal="right" vertical="center"/>
      <protection/>
    </xf>
    <xf numFmtId="0" fontId="16" fillId="8" borderId="29" xfId="0" applyFont="1" applyFill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4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 quotePrefix="1">
      <alignment/>
      <protection/>
    </xf>
    <xf numFmtId="2" fontId="1" fillId="5" borderId="25" xfId="0" applyNumberFormat="1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177" fontId="0" fillId="5" borderId="49" xfId="0" applyNumberFormat="1" applyFill="1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77" fontId="0" fillId="5" borderId="0" xfId="0" applyNumberFormat="1" applyFill="1" applyBorder="1" applyAlignment="1" applyProtection="1">
      <alignment horizontal="center"/>
      <protection/>
    </xf>
    <xf numFmtId="177" fontId="0" fillId="5" borderId="28" xfId="0" applyNumberFormat="1" applyFill="1" applyBorder="1" applyAlignment="1" applyProtection="1">
      <alignment horizontal="center"/>
      <protection/>
    </xf>
    <xf numFmtId="179" fontId="28" fillId="3" borderId="27" xfId="0" applyNumberFormat="1" applyFont="1" applyFill="1" applyBorder="1" applyAlignment="1" applyProtection="1">
      <alignment horizontal="center"/>
      <protection/>
    </xf>
    <xf numFmtId="179" fontId="28" fillId="3" borderId="1" xfId="0" applyNumberFormat="1" applyFont="1" applyFill="1" applyBorder="1" applyAlignment="1" applyProtection="1">
      <alignment horizontal="center"/>
      <protection/>
    </xf>
    <xf numFmtId="179" fontId="28" fillId="3" borderId="10" xfId="0" applyNumberFormat="1" applyFont="1" applyFill="1" applyBorder="1" applyAlignment="1" applyProtection="1">
      <alignment horizontal="center"/>
      <protection/>
    </xf>
    <xf numFmtId="176" fontId="1" fillId="0" borderId="10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17" fillId="0" borderId="20" xfId="0" applyFont="1" applyBorder="1" applyAlignment="1" applyProtection="1">
      <alignment horizontal="left"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/>
      <protection/>
    </xf>
    <xf numFmtId="0" fontId="0" fillId="10" borderId="20" xfId="0" applyFill="1" applyBorder="1" applyAlignment="1">
      <alignment horizontal="right"/>
    </xf>
    <xf numFmtId="0" fontId="1" fillId="0" borderId="49" xfId="0" applyFont="1" applyBorder="1" applyAlignment="1" applyProtection="1">
      <alignment horizontal="left"/>
      <protection locked="0"/>
    </xf>
    <xf numFmtId="0" fontId="0" fillId="10" borderId="23" xfId="0" applyFill="1" applyBorder="1" applyAlignment="1">
      <alignment/>
    </xf>
    <xf numFmtId="0" fontId="0" fillId="10" borderId="5" xfId="0" applyFill="1" applyBorder="1" applyAlignment="1">
      <alignment horizontal="right"/>
    </xf>
    <xf numFmtId="0" fontId="1" fillId="0" borderId="28" xfId="0" applyFont="1" applyBorder="1" applyAlignment="1" applyProtection="1">
      <alignment horizontal="left"/>
      <protection locked="0"/>
    </xf>
    <xf numFmtId="0" fontId="0" fillId="10" borderId="3" xfId="0" applyFill="1" applyBorder="1" applyAlignment="1">
      <alignment/>
    </xf>
    <xf numFmtId="0" fontId="1" fillId="8" borderId="49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7" fontId="0" fillId="3" borderId="0" xfId="0" applyNumberFormat="1" applyFill="1" applyBorder="1" applyAlignment="1">
      <alignment horizontal="center"/>
    </xf>
    <xf numFmtId="177" fontId="0" fillId="3" borderId="2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177" fontId="0" fillId="3" borderId="28" xfId="0" applyNumberFormat="1" applyFill="1" applyBorder="1" applyAlignment="1">
      <alignment horizontal="center"/>
    </xf>
    <xf numFmtId="177" fontId="0" fillId="3" borderId="3" xfId="0" applyNumberFormat="1" applyFill="1" applyBorder="1" applyAlignment="1">
      <alignment horizontal="center"/>
    </xf>
    <xf numFmtId="0" fontId="32" fillId="0" borderId="2" xfId="0" applyFont="1" applyBorder="1" applyAlignment="1" applyProtection="1">
      <alignment horizontal="center" vertical="center"/>
      <protection/>
    </xf>
    <xf numFmtId="0" fontId="15" fillId="5" borderId="50" xfId="0" applyFont="1" applyFill="1" applyBorder="1" applyAlignment="1" applyProtection="1">
      <alignment horizontal="center" vertical="center"/>
      <protection/>
    </xf>
    <xf numFmtId="0" fontId="0" fillId="5" borderId="41" xfId="0" applyFill="1" applyBorder="1" applyAlignment="1" applyProtection="1">
      <alignment horizontal="center" vertical="center"/>
      <protection/>
    </xf>
    <xf numFmtId="0" fontId="0" fillId="5" borderId="42" xfId="0" applyFill="1" applyBorder="1" applyAlignment="1" applyProtection="1">
      <alignment horizontal="center" vertical="center"/>
      <protection/>
    </xf>
    <xf numFmtId="0" fontId="0" fillId="5" borderId="24" xfId="0" applyFill="1" applyBorder="1" applyAlignment="1" applyProtection="1">
      <alignment horizontal="center" vertical="center"/>
      <protection/>
    </xf>
    <xf numFmtId="179" fontId="0" fillId="0" borderId="0" xfId="0" applyNumberFormat="1" applyAlignment="1">
      <alignment/>
    </xf>
    <xf numFmtId="179" fontId="0" fillId="12" borderId="0" xfId="0" applyNumberFormat="1" applyFill="1" applyAlignment="1">
      <alignment/>
    </xf>
    <xf numFmtId="0" fontId="0" fillId="12" borderId="0" xfId="0" applyFill="1" applyAlignment="1">
      <alignment/>
    </xf>
    <xf numFmtId="179" fontId="1" fillId="0" borderId="0" xfId="0" applyNumberFormat="1" applyFont="1" applyAlignment="1">
      <alignment horizontal="center"/>
    </xf>
    <xf numFmtId="179" fontId="1" fillId="0" borderId="37" xfId="0" applyNumberFormat="1" applyFon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5" borderId="2" xfId="0" applyNumberFormat="1" applyFill="1" applyBorder="1" applyAlignment="1">
      <alignment horizontal="center"/>
    </xf>
    <xf numFmtId="179" fontId="0" fillId="5" borderId="1" xfId="0" applyNumberFormat="1" applyFill="1" applyBorder="1" applyAlignment="1">
      <alignment horizontal="center"/>
    </xf>
    <xf numFmtId="0" fontId="15" fillId="5" borderId="51" xfId="0" applyFont="1" applyFill="1" applyBorder="1" applyAlignment="1" applyProtection="1">
      <alignment horizontal="center" vertical="center"/>
      <protection/>
    </xf>
    <xf numFmtId="0" fontId="0" fillId="5" borderId="43" xfId="0" applyFill="1" applyBorder="1" applyAlignment="1" applyProtection="1">
      <alignment horizontal="center" vertical="center"/>
      <protection/>
    </xf>
    <xf numFmtId="0" fontId="17" fillId="7" borderId="24" xfId="0" applyFont="1" applyFill="1" applyBorder="1" applyAlignment="1" applyProtection="1">
      <alignment horizontal="center" vertical="center"/>
      <protection/>
    </xf>
    <xf numFmtId="0" fontId="17" fillId="7" borderId="43" xfId="0" applyFont="1" applyFill="1" applyBorder="1" applyAlignment="1" applyProtection="1">
      <alignment horizontal="center" vertical="center"/>
      <protection/>
    </xf>
    <xf numFmtId="0" fontId="17" fillId="7" borderId="44" xfId="0" applyFont="1" applyFill="1" applyBorder="1" applyAlignment="1" applyProtection="1">
      <alignment horizontal="center" vertical="center"/>
      <protection/>
    </xf>
    <xf numFmtId="0" fontId="17" fillId="7" borderId="45" xfId="0" applyFont="1" applyFill="1" applyBorder="1" applyAlignment="1" applyProtection="1">
      <alignment horizontal="center" vertical="center"/>
      <protection/>
    </xf>
    <xf numFmtId="0" fontId="15" fillId="7" borderId="24" xfId="0" applyFont="1" applyFill="1" applyBorder="1" applyAlignment="1" applyProtection="1">
      <alignment horizontal="center" vertical="center"/>
      <protection/>
    </xf>
    <xf numFmtId="0" fontId="15" fillId="7" borderId="43" xfId="0" applyFont="1" applyFill="1" applyBorder="1" applyAlignment="1" applyProtection="1">
      <alignment horizontal="center" vertical="center"/>
      <protection/>
    </xf>
    <xf numFmtId="0" fontId="17" fillId="7" borderId="51" xfId="0" applyFont="1" applyFill="1" applyBorder="1" applyAlignment="1" applyProtection="1">
      <alignment horizontal="center" vertical="center"/>
      <protection/>
    </xf>
    <xf numFmtId="0" fontId="17" fillId="7" borderId="50" xfId="0" applyFont="1" applyFill="1" applyBorder="1" applyAlignment="1" applyProtection="1">
      <alignment horizontal="center" vertical="center"/>
      <protection/>
    </xf>
    <xf numFmtId="0" fontId="12" fillId="3" borderId="20" xfId="0" applyFont="1" applyFill="1" applyBorder="1" applyAlignment="1" applyProtection="1">
      <alignment horizontal="center" vertical="center"/>
      <protection/>
    </xf>
    <xf numFmtId="0" fontId="12" fillId="3" borderId="49" xfId="0" applyFont="1" applyFill="1" applyBorder="1" applyAlignment="1" applyProtection="1">
      <alignment horizontal="center" vertical="center"/>
      <protection/>
    </xf>
    <xf numFmtId="0" fontId="15" fillId="5" borderId="24" xfId="0" applyFont="1" applyFill="1" applyBorder="1" applyAlignment="1" applyProtection="1">
      <alignment horizontal="center" vertical="center"/>
      <protection/>
    </xf>
    <xf numFmtId="0" fontId="15" fillId="5" borderId="43" xfId="0" applyFont="1" applyFill="1" applyBorder="1" applyAlignment="1" applyProtection="1">
      <alignment horizontal="center" vertical="center"/>
      <protection/>
    </xf>
    <xf numFmtId="0" fontId="17" fillId="5" borderId="24" xfId="0" applyFont="1" applyFill="1" applyBorder="1" applyAlignment="1" applyProtection="1">
      <alignment horizontal="center" vertical="center"/>
      <protection/>
    </xf>
    <xf numFmtId="0" fontId="17" fillId="5" borderId="43" xfId="0" applyFont="1" applyFill="1" applyBorder="1" applyAlignment="1" applyProtection="1">
      <alignment horizontal="center" vertical="center"/>
      <protection/>
    </xf>
    <xf numFmtId="0" fontId="17" fillId="5" borderId="44" xfId="0" applyFont="1" applyFill="1" applyBorder="1" applyAlignment="1" applyProtection="1">
      <alignment horizontal="center" vertical="center"/>
      <protection/>
    </xf>
    <xf numFmtId="0" fontId="17" fillId="5" borderId="45" xfId="0" applyFont="1" applyFill="1" applyBorder="1" applyAlignment="1" applyProtection="1">
      <alignment horizontal="center" vertical="center"/>
      <protection/>
    </xf>
    <xf numFmtId="0" fontId="9" fillId="8" borderId="14" xfId="0" applyFont="1" applyFill="1" applyBorder="1" applyAlignment="1" applyProtection="1">
      <alignment horizontal="center" vertical="center"/>
      <protection/>
    </xf>
    <xf numFmtId="0" fontId="3" fillId="8" borderId="20" xfId="0" applyFont="1" applyFill="1" applyBorder="1" applyAlignment="1" applyProtection="1">
      <alignment horizontal="center"/>
      <protection/>
    </xf>
    <xf numFmtId="0" fontId="3" fillId="8" borderId="49" xfId="0" applyFont="1" applyFill="1" applyBorder="1" applyAlignment="1" applyProtection="1">
      <alignment horizontal="center"/>
      <protection/>
    </xf>
    <xf numFmtId="0" fontId="1" fillId="5" borderId="0" xfId="0" applyFont="1" applyFill="1" applyAlignment="1" applyProtection="1">
      <alignment horizontal="center"/>
      <protection/>
    </xf>
    <xf numFmtId="0" fontId="1" fillId="3" borderId="24" xfId="0" applyFont="1" applyFill="1" applyBorder="1" applyAlignment="1" applyProtection="1">
      <alignment horizontal="center"/>
      <protection/>
    </xf>
    <xf numFmtId="0" fontId="1" fillId="3" borderId="26" xfId="0" applyFont="1" applyFill="1" applyBorder="1" applyAlignment="1" applyProtection="1">
      <alignment horizontal="center"/>
      <protection/>
    </xf>
    <xf numFmtId="0" fontId="13" fillId="10" borderId="24" xfId="0" applyFont="1" applyFill="1" applyBorder="1" applyAlignment="1" applyProtection="1">
      <alignment horizontal="center"/>
      <protection/>
    </xf>
    <xf numFmtId="0" fontId="13" fillId="10" borderId="25" xfId="0" applyFont="1" applyFill="1" applyBorder="1" applyAlignment="1" applyProtection="1">
      <alignment horizontal="center"/>
      <protection/>
    </xf>
    <xf numFmtId="0" fontId="13" fillId="10" borderId="26" xfId="0" applyFont="1" applyFill="1" applyBorder="1" applyAlignment="1" applyProtection="1">
      <alignment horizontal="center"/>
      <protection/>
    </xf>
    <xf numFmtId="0" fontId="22" fillId="10" borderId="52" xfId="0" applyFont="1" applyFill="1" applyBorder="1" applyAlignment="1" applyProtection="1">
      <alignment horizontal="center"/>
      <protection/>
    </xf>
    <xf numFmtId="0" fontId="22" fillId="10" borderId="53" xfId="0" applyFont="1" applyFill="1" applyBorder="1" applyAlignment="1" applyProtection="1">
      <alignment horizontal="center"/>
      <protection/>
    </xf>
    <xf numFmtId="0" fontId="13" fillId="9" borderId="24" xfId="0" applyFont="1" applyFill="1" applyBorder="1" applyAlignment="1" applyProtection="1">
      <alignment horizontal="center"/>
      <protection/>
    </xf>
    <xf numFmtId="0" fontId="13" fillId="9" borderId="25" xfId="0" applyFont="1" applyFill="1" applyBorder="1" applyAlignment="1" applyProtection="1">
      <alignment horizontal="center"/>
      <protection/>
    </xf>
    <xf numFmtId="0" fontId="13" fillId="9" borderId="26" xfId="0" applyFont="1" applyFill="1" applyBorder="1" applyAlignment="1" applyProtection="1">
      <alignment horizontal="center"/>
      <protection/>
    </xf>
    <xf numFmtId="0" fontId="25" fillId="13" borderId="20" xfId="0" applyFont="1" applyFill="1" applyBorder="1" applyAlignment="1" applyProtection="1">
      <alignment horizontal="center"/>
      <protection/>
    </xf>
    <xf numFmtId="0" fontId="25" fillId="13" borderId="23" xfId="0" applyFont="1" applyFill="1" applyBorder="1" applyAlignment="1" applyProtection="1">
      <alignment horizontal="center"/>
      <protection/>
    </xf>
    <xf numFmtId="0" fontId="1" fillId="9" borderId="44" xfId="0" applyFont="1" applyFill="1" applyBorder="1" applyAlignment="1" applyProtection="1">
      <alignment horizontal="center"/>
      <protection/>
    </xf>
    <xf numFmtId="0" fontId="1" fillId="9" borderId="54" xfId="0" applyFont="1" applyFill="1" applyBorder="1" applyAlignment="1" applyProtection="1">
      <alignment horizontal="center"/>
      <protection/>
    </xf>
    <xf numFmtId="0" fontId="1" fillId="9" borderId="55" xfId="0" applyFont="1" applyFill="1" applyBorder="1" applyAlignment="1" applyProtection="1">
      <alignment horizontal="center"/>
      <protection/>
    </xf>
    <xf numFmtId="179" fontId="0" fillId="12" borderId="0" xfId="0" applyNumberFormat="1" applyFill="1" applyAlignment="1">
      <alignment horizontal="center"/>
    </xf>
    <xf numFmtId="179" fontId="0" fillId="0" borderId="37" xfId="0" applyNumberFormat="1" applyBorder="1" applyAlignment="1">
      <alignment horizontal="center"/>
    </xf>
    <xf numFmtId="179" fontId="0" fillId="5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" fontId="0" fillId="12" borderId="0" xfId="0" applyNumberFormat="1" applyFill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2" xfId="0" applyNumberFormat="1" applyFill="1" applyBorder="1" applyAlignment="1">
      <alignment horizontal="center"/>
    </xf>
    <xf numFmtId="179" fontId="0" fillId="5" borderId="2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Mean Charge </a:t>
            </a:r>
          </a:p>
        </c:rich>
      </c:tx>
      <c:layout>
        <c:manualLayout>
          <c:xMode val="factor"/>
          <c:yMode val="factor"/>
          <c:x val="0.038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25"/>
          <c:w val="0.9565"/>
          <c:h val="0.8767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'ChargeStates -&gt; MeanValue'!$B$4</c:f>
              <c:strCache>
                <c:ptCount val="1"/>
                <c:pt idx="0">
                  <c:v>Winger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MeanValue'!$B$6:$B$29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'ChargeStates -&gt; MeanValue'!$C$4</c:f>
              <c:strCache>
                <c:ptCount val="1"/>
                <c:pt idx="0">
                  <c:v>Leon</c:v>
                </c:pt>
              </c:strCache>
            </c:strRef>
          </c:tx>
          <c:spPr>
            <a:ln w="25400">
              <a:solidFill>
                <a:srgbClr val="3366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MeanValue'!$C$6:$C$29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'ChargeStates -&gt; MeanValue'!$D$4</c:f>
              <c:strCache>
                <c:ptCount val="1"/>
                <c:pt idx="0">
                  <c:v>Schima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'ChargeStates -&gt; MeanValue'!$E$4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MeanValue'!$A$6:$A$29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'ChargeStates -&gt; MeanValue'!$E$6:$E$29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yVal>
          <c:smooth val="1"/>
        </c:ser>
        <c:axId val="41628490"/>
        <c:axId val="39112091"/>
      </c:scatterChart>
      <c:valAx>
        <c:axId val="416284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Zbeam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12091"/>
        <c:crosses val="autoZero"/>
        <c:crossBetween val="midCat"/>
        <c:dispUnits/>
      </c:valAx>
      <c:valAx>
        <c:axId val="3911209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Zbeam - &lt;Q&gt;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628490"/>
        <c:crosses val="autoZero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55"/>
          <c:y val="0.179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Mean Charge </a:t>
            </a:r>
          </a:p>
        </c:rich>
      </c:tx>
      <c:layout>
        <c:manualLayout>
          <c:xMode val="factor"/>
          <c:yMode val="factor"/>
          <c:x val="0.36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"/>
          <c:w val="0.95625"/>
          <c:h val="0.8765"/>
        </c:manualLayout>
      </c:layout>
      <c:scatterChart>
        <c:scatterStyle val="smooth"/>
        <c:varyColors val="0"/>
        <c:ser>
          <c:idx val="0"/>
          <c:order val="0"/>
          <c:tx>
            <c:strRef>
              <c:f>'ChargeStates -&gt; MeanValue'!$B$34</c:f>
              <c:strCache>
                <c:ptCount val="1"/>
                <c:pt idx="0">
                  <c:v>Winger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MeanValue'!$B$36:$B$53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'ChargeStates -&gt; MeanValue'!$C$34</c:f>
              <c:strCache>
                <c:ptCount val="1"/>
                <c:pt idx="0">
                  <c:v>Leon</c:v>
                </c:pt>
              </c:strCache>
            </c:strRef>
          </c:tx>
          <c:spPr>
            <a:ln w="25400">
              <a:solidFill>
                <a:srgbClr val="3366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MeanValue'!$C$36:$C$53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'ChargeStates -&gt; MeanValue'!$D$34</c:f>
              <c:strCache>
                <c:ptCount val="1"/>
                <c:pt idx="0">
                  <c:v>Schima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MeanValue'!$D$36:$D$53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'ChargeStates -&gt; MeanValue'!$E$34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'ChargeStates -&gt; MeanValue'!$A$36:$A$53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'ChargeStates -&gt; MeanValue'!$E$36:$E$53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1"/>
        </c:ser>
        <c:axId val="16464500"/>
        <c:axId val="13962773"/>
      </c:scatterChart>
      <c:valAx>
        <c:axId val="164645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Ztarget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962773"/>
        <c:crosses val="autoZero"/>
        <c:crossBetween val="midCat"/>
        <c:dispUnits/>
      </c:valAx>
      <c:valAx>
        <c:axId val="139627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Zbeam - &lt;Q&gt;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64500"/>
        <c:crosses val="autoZero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55"/>
          <c:y val="0.08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7.emf" /><Relationship Id="rId4" Type="http://schemas.openxmlformats.org/officeDocument/2006/relationships/image" Target="../media/image9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10.emf" /><Relationship Id="rId8" Type="http://schemas.openxmlformats.org/officeDocument/2006/relationships/image" Target="../media/image8.emf" /><Relationship Id="rId9" Type="http://schemas.openxmlformats.org/officeDocument/2006/relationships/image" Target="../media/image6.emf" /><Relationship Id="rId1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381000</xdr:colOff>
      <xdr:row>1</xdr:row>
      <xdr:rowOff>352425</xdr:rowOff>
    </xdr:from>
    <xdr:to>
      <xdr:col>1</xdr:col>
      <xdr:colOff>1371600</xdr:colOff>
      <xdr:row>3</xdr:row>
      <xdr:rowOff>66675</xdr:rowOff>
    </xdr:to>
    <xdr:pic>
      <xdr:nvPicPr>
        <xdr:cNvPr id="1" name="SetLoss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45720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371475</xdr:colOff>
      <xdr:row>3</xdr:row>
      <xdr:rowOff>114300</xdr:rowOff>
    </xdr:from>
    <xdr:to>
      <xdr:col>1</xdr:col>
      <xdr:colOff>1362075</xdr:colOff>
      <xdr:row>5</xdr:row>
      <xdr:rowOff>9525</xdr:rowOff>
    </xdr:to>
    <xdr:pic>
      <xdr:nvPicPr>
        <xdr:cNvPr id="2" name="SetLoss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7524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1</xdr:col>
      <xdr:colOff>361950</xdr:colOff>
      <xdr:row>5</xdr:row>
      <xdr:rowOff>66675</xdr:rowOff>
    </xdr:from>
    <xdr:to>
      <xdr:col>1</xdr:col>
      <xdr:colOff>1352550</xdr:colOff>
      <xdr:row>6</xdr:row>
      <xdr:rowOff>152400</xdr:rowOff>
    </xdr:to>
    <xdr:pic>
      <xdr:nvPicPr>
        <xdr:cNvPr id="3" name="SetLoss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0572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361950</xdr:colOff>
      <xdr:row>1</xdr:row>
      <xdr:rowOff>342900</xdr:rowOff>
    </xdr:from>
    <xdr:to>
      <xdr:col>2</xdr:col>
      <xdr:colOff>1352550</xdr:colOff>
      <xdr:row>3</xdr:row>
      <xdr:rowOff>57150</xdr:rowOff>
    </xdr:to>
    <xdr:pic>
      <xdr:nvPicPr>
        <xdr:cNvPr id="4" name="SetChargeState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52675" y="4476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352425</xdr:colOff>
      <xdr:row>3</xdr:row>
      <xdr:rowOff>114300</xdr:rowOff>
    </xdr:from>
    <xdr:to>
      <xdr:col>2</xdr:col>
      <xdr:colOff>1343025</xdr:colOff>
      <xdr:row>5</xdr:row>
      <xdr:rowOff>9525</xdr:rowOff>
    </xdr:to>
    <xdr:pic>
      <xdr:nvPicPr>
        <xdr:cNvPr id="5" name="SetChargeState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7524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2</xdr:col>
      <xdr:colOff>352425</xdr:colOff>
      <xdr:row>5</xdr:row>
      <xdr:rowOff>47625</xdr:rowOff>
    </xdr:from>
    <xdr:to>
      <xdr:col>2</xdr:col>
      <xdr:colOff>1343025</xdr:colOff>
      <xdr:row>6</xdr:row>
      <xdr:rowOff>133350</xdr:rowOff>
    </xdr:to>
    <xdr:pic>
      <xdr:nvPicPr>
        <xdr:cNvPr id="6" name="SetChargeState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103822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3</xdr:col>
      <xdr:colOff>438150</xdr:colOff>
      <xdr:row>2</xdr:row>
      <xdr:rowOff>0</xdr:rowOff>
    </xdr:from>
    <xdr:to>
      <xdr:col>3</xdr:col>
      <xdr:colOff>1428750</xdr:colOff>
      <xdr:row>3</xdr:row>
      <xdr:rowOff>85725</xdr:rowOff>
    </xdr:to>
    <xdr:pic>
      <xdr:nvPicPr>
        <xdr:cNvPr id="7" name="SetStrag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24325" y="476250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438150</xdr:colOff>
      <xdr:row>3</xdr:row>
      <xdr:rowOff>152400</xdr:rowOff>
    </xdr:from>
    <xdr:to>
      <xdr:col>3</xdr:col>
      <xdr:colOff>1428750</xdr:colOff>
      <xdr:row>5</xdr:row>
      <xdr:rowOff>47625</xdr:rowOff>
    </xdr:to>
    <xdr:pic>
      <xdr:nvPicPr>
        <xdr:cNvPr id="8" name="SetStrag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24325" y="790575"/>
          <a:ext cx="990600" cy="247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1038225</xdr:colOff>
      <xdr:row>11</xdr:row>
      <xdr:rowOff>0</xdr:rowOff>
    </xdr:from>
    <xdr:to>
      <xdr:col>3</xdr:col>
      <xdr:colOff>1733550</xdr:colOff>
      <xdr:row>11</xdr:row>
      <xdr:rowOff>238125</xdr:rowOff>
    </xdr:to>
    <xdr:pic>
      <xdr:nvPicPr>
        <xdr:cNvPr id="9" name="HideM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724400" y="21907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11</xdr:row>
      <xdr:rowOff>0</xdr:rowOff>
    </xdr:from>
    <xdr:to>
      <xdr:col>3</xdr:col>
      <xdr:colOff>952500</xdr:colOff>
      <xdr:row>11</xdr:row>
      <xdr:rowOff>238125</xdr:rowOff>
    </xdr:to>
    <xdr:pic>
      <xdr:nvPicPr>
        <xdr:cNvPr id="10" name="InitAgai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43350" y="2190750"/>
          <a:ext cx="695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0</xdr:row>
      <xdr:rowOff>104775</xdr:rowOff>
    </xdr:from>
    <xdr:to>
      <xdr:col>15</xdr:col>
      <xdr:colOff>552450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590925" y="104775"/>
        <a:ext cx="63055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276225</xdr:colOff>
      <xdr:row>32</xdr:row>
      <xdr:rowOff>76200</xdr:rowOff>
    </xdr:from>
    <xdr:to>
      <xdr:col>15</xdr:col>
      <xdr:colOff>495300</xdr:colOff>
      <xdr:row>62</xdr:row>
      <xdr:rowOff>47625</xdr:rowOff>
    </xdr:to>
    <xdr:graphicFrame>
      <xdr:nvGraphicFramePr>
        <xdr:cNvPr id="2" name="Chart 2"/>
        <xdr:cNvGraphicFramePr/>
      </xdr:nvGraphicFramePr>
      <xdr:xfrm>
        <a:off x="3524250" y="5257800"/>
        <a:ext cx="631507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arasov@nscl.msu.edu" TargetMode="External" /><Relationship Id="rId2" Type="http://schemas.openxmlformats.org/officeDocument/2006/relationships/hyperlink" Target="http://www.nscl.msu.edu/~tarasov" TargetMode="External" /><Relationship Id="rId3" Type="http://schemas.openxmlformats.org/officeDocument/2006/relationships/hyperlink" Target="http://www.dnr080.jinr.ru/" TargetMode="External" /><Relationship Id="rId4" Type="http://schemas.openxmlformats.org/officeDocument/2006/relationships/hyperlink" Target="http://www.nscl.msu.edu/lise" TargetMode="External" /><Relationship Id="rId5" Type="http://schemas.openxmlformats.org/officeDocument/2006/relationships/hyperlink" Target="http://www.dnr080.jinr.ru/" TargetMode="Externa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1.1484375" style="0" customWidth="1"/>
    <col min="2" max="3" width="12.8515625" style="277" customWidth="1"/>
    <col min="4" max="4" width="9.8515625" style="334" customWidth="1"/>
    <col min="5" max="5" width="14.28125" style="334" customWidth="1"/>
    <col min="6" max="6" width="14.28125" style="326" customWidth="1"/>
    <col min="7" max="7" width="15.00390625" style="326" customWidth="1"/>
    <col min="8" max="8" width="21.421875" style="326" customWidth="1"/>
    <col min="9" max="10" width="14.28125" style="326" customWidth="1"/>
    <col min="11" max="11" width="1.1484375" style="0" customWidth="1"/>
  </cols>
  <sheetData>
    <row r="1" spans="1:11" ht="6" customHeight="1">
      <c r="A1" s="279"/>
      <c r="B1" s="278"/>
      <c r="C1" s="278"/>
      <c r="D1" s="327"/>
      <c r="E1" s="327"/>
      <c r="F1" s="323"/>
      <c r="G1" s="323"/>
      <c r="H1" s="323"/>
      <c r="I1" s="323"/>
      <c r="J1" s="323"/>
      <c r="K1" s="279"/>
    </row>
    <row r="2" spans="1:11" ht="13.5" thickBot="1">
      <c r="A2" s="279"/>
      <c r="B2" s="281" t="s">
        <v>366</v>
      </c>
      <c r="C2" s="281" t="s">
        <v>5</v>
      </c>
      <c r="D2" s="328" t="s">
        <v>33</v>
      </c>
      <c r="E2" s="328" t="s">
        <v>376</v>
      </c>
      <c r="F2" s="281" t="s">
        <v>368</v>
      </c>
      <c r="G2" s="281" t="s">
        <v>369</v>
      </c>
      <c r="H2" s="324"/>
      <c r="I2" s="324"/>
      <c r="J2" s="324"/>
      <c r="K2" s="279"/>
    </row>
    <row r="3" spans="1:11" ht="12.75">
      <c r="A3" s="279"/>
      <c r="B3" s="284" t="s">
        <v>367</v>
      </c>
      <c r="C3" s="284" t="s">
        <v>65</v>
      </c>
      <c r="D3" s="329">
        <v>76</v>
      </c>
      <c r="E3" s="329">
        <v>30</v>
      </c>
      <c r="F3" s="285">
        <v>4.321</v>
      </c>
      <c r="G3" s="285">
        <f>Brho2Energy(F3,D3,E3)</f>
        <v>131.12216457440687</v>
      </c>
      <c r="H3" s="325"/>
      <c r="I3" s="325"/>
      <c r="J3" s="325"/>
      <c r="K3" s="279"/>
    </row>
    <row r="4" spans="1:11" ht="6" customHeight="1">
      <c r="A4" s="279"/>
      <c r="B4" s="278"/>
      <c r="C4" s="278"/>
      <c r="D4" s="327"/>
      <c r="E4" s="327"/>
      <c r="F4" s="323"/>
      <c r="G4" s="323"/>
      <c r="H4" s="323"/>
      <c r="I4" s="323"/>
      <c r="J4" s="323"/>
      <c r="K4" s="279"/>
    </row>
    <row r="5" spans="1:11" ht="12.75">
      <c r="A5" s="279"/>
      <c r="B5" s="280" t="s">
        <v>373</v>
      </c>
      <c r="C5" s="280"/>
      <c r="D5" s="330" t="s">
        <v>371</v>
      </c>
      <c r="E5" s="330" t="s">
        <v>372</v>
      </c>
      <c r="F5" s="280" t="s">
        <v>370</v>
      </c>
      <c r="G5" s="280" t="s">
        <v>365</v>
      </c>
      <c r="H5" s="280" t="s">
        <v>377</v>
      </c>
      <c r="I5" s="280" t="s">
        <v>374</v>
      </c>
      <c r="J5" s="280" t="s">
        <v>375</v>
      </c>
      <c r="K5" s="279"/>
    </row>
    <row r="6" spans="1:11" ht="6" customHeight="1">
      <c r="A6" s="279"/>
      <c r="B6" s="278"/>
      <c r="C6" s="278"/>
      <c r="D6" s="327"/>
      <c r="E6" s="327"/>
      <c r="F6" s="323"/>
      <c r="G6" s="323"/>
      <c r="H6" s="323"/>
      <c r="I6" s="323"/>
      <c r="J6" s="323"/>
      <c r="K6" s="279"/>
    </row>
    <row r="7" spans="1:11" ht="12.75">
      <c r="A7" s="279"/>
      <c r="B7" s="282" t="s">
        <v>378</v>
      </c>
      <c r="C7" s="282" t="s">
        <v>38</v>
      </c>
      <c r="D7" s="331">
        <v>4</v>
      </c>
      <c r="E7" s="333">
        <v>4</v>
      </c>
      <c r="F7" s="333">
        <v>4</v>
      </c>
      <c r="G7" s="283">
        <v>1270</v>
      </c>
      <c r="H7" s="282">
        <f>EnergyLossInMatter_option(D7,E7,G3,F7,G7,2)</f>
        <v>104.461</v>
      </c>
      <c r="I7" s="283">
        <f>Energy2Brho(H7,D3,E3)</f>
        <v>3.8308969430935353</v>
      </c>
      <c r="J7" s="283">
        <f>1-(I7/F3)</f>
        <v>0.11342352624542107</v>
      </c>
      <c r="K7" s="279"/>
    </row>
    <row r="8" spans="1:11" ht="12.75">
      <c r="A8" s="279"/>
      <c r="B8" s="284" t="s">
        <v>379</v>
      </c>
      <c r="C8" s="284" t="s">
        <v>46</v>
      </c>
      <c r="D8" s="332">
        <v>13</v>
      </c>
      <c r="E8" s="329">
        <v>26</v>
      </c>
      <c r="F8" s="329">
        <v>4</v>
      </c>
      <c r="G8" s="285">
        <v>600</v>
      </c>
      <c r="H8" s="336">
        <f>EnergyLossInMatter_option(D8,E8,G3,F8,G8,2)</f>
        <v>111.005</v>
      </c>
      <c r="I8" s="285">
        <f>Energy2Brho(H8,D3,E3)</f>
        <v>3.9556304597461724</v>
      </c>
      <c r="J8" s="285">
        <f>1-(I8/F3)</f>
        <v>0.0845567091538596</v>
      </c>
      <c r="K8" s="279"/>
    </row>
    <row r="9" spans="1:11" ht="12.75">
      <c r="A9" s="279"/>
      <c r="B9" s="282" t="s">
        <v>380</v>
      </c>
      <c r="C9" s="282" t="s">
        <v>381</v>
      </c>
      <c r="D9" s="331">
        <v>6</v>
      </c>
      <c r="E9" s="333">
        <v>12</v>
      </c>
      <c r="F9" s="333">
        <v>4</v>
      </c>
      <c r="G9" s="283">
        <v>300</v>
      </c>
      <c r="H9" s="282">
        <f>EnergyLossInMatter_option(D9,E9,G3,F9,G9,2)</f>
        <v>126.694</v>
      </c>
      <c r="I9" s="283">
        <f>Energy2Brho(H9,D3,E3)</f>
        <v>4.24269192274704</v>
      </c>
      <c r="J9" s="283">
        <f>1-(I9/F3)</f>
        <v>0.01812267467090012</v>
      </c>
      <c r="K9" s="279"/>
    </row>
    <row r="10" spans="1:11" ht="12.75">
      <c r="A10" s="279"/>
      <c r="B10" s="284" t="s">
        <v>380</v>
      </c>
      <c r="C10" s="284" t="s">
        <v>381</v>
      </c>
      <c r="D10" s="329"/>
      <c r="E10" s="329"/>
      <c r="F10" s="329"/>
      <c r="G10" s="285"/>
      <c r="H10" s="284">
        <f>EnergyLossInMatter_option(D10,E10,G3,F10,G10,2)</f>
        <v>0</v>
      </c>
      <c r="I10" s="285"/>
      <c r="J10" s="285"/>
      <c r="K10" s="279"/>
    </row>
    <row r="11" spans="1:11" ht="12.75">
      <c r="A11" s="279"/>
      <c r="B11" s="282"/>
      <c r="C11" s="282"/>
      <c r="D11" s="333"/>
      <c r="E11" s="333"/>
      <c r="F11" s="333"/>
      <c r="G11" s="283"/>
      <c r="H11" s="282">
        <f>EnergyLossInMatter_option(D11,E11,G3,F11,G11,2)</f>
        <v>0</v>
      </c>
      <c r="I11" s="283"/>
      <c r="J11" s="283"/>
      <c r="K11" s="279"/>
    </row>
    <row r="12" spans="1:11" ht="12.75">
      <c r="A12" s="279"/>
      <c r="B12" s="284"/>
      <c r="C12" s="284"/>
      <c r="D12" s="329"/>
      <c r="E12" s="329"/>
      <c r="F12" s="329"/>
      <c r="G12" s="285"/>
      <c r="H12" s="284">
        <f>EnergyLossInMatter_option(D12,E12,G3,F12,G12,2)</f>
        <v>0</v>
      </c>
      <c r="I12" s="285"/>
      <c r="J12" s="285"/>
      <c r="K12" s="279"/>
    </row>
    <row r="13" spans="1:11" ht="12.75">
      <c r="A13" s="279"/>
      <c r="B13" s="282"/>
      <c r="C13" s="282"/>
      <c r="D13" s="333"/>
      <c r="E13" s="333"/>
      <c r="F13" s="333"/>
      <c r="G13" s="283"/>
      <c r="H13" s="282">
        <f>EnergyLossInMatter_option(D13,E13,G3,F13,G13,2)</f>
        <v>0</v>
      </c>
      <c r="I13" s="283"/>
      <c r="J13" s="283"/>
      <c r="K13" s="279"/>
    </row>
    <row r="14" spans="1:11" ht="12.75">
      <c r="A14" s="279"/>
      <c r="B14" s="284"/>
      <c r="C14" s="284"/>
      <c r="D14" s="329"/>
      <c r="E14" s="329"/>
      <c r="F14" s="329"/>
      <c r="G14" s="285"/>
      <c r="H14" s="284">
        <f>EnergyLossInMatter_option(D14,E14,G3,F14,G14,2)</f>
        <v>0</v>
      </c>
      <c r="I14" s="285"/>
      <c r="J14" s="285"/>
      <c r="K14" s="279"/>
    </row>
    <row r="15" spans="1:11" ht="12.75">
      <c r="A15" s="279"/>
      <c r="B15" s="282"/>
      <c r="C15" s="282"/>
      <c r="D15" s="333"/>
      <c r="E15" s="333"/>
      <c r="F15" s="333"/>
      <c r="G15" s="283"/>
      <c r="H15" s="282">
        <f>EnergyLossInMatter_option(D15,E15,G3,F15,G15,2)</f>
        <v>0</v>
      </c>
      <c r="I15" s="283"/>
      <c r="J15" s="283"/>
      <c r="K15" s="279"/>
    </row>
    <row r="16" spans="1:11" ht="12.75">
      <c r="A16" s="279"/>
      <c r="B16" s="284"/>
      <c r="C16" s="284"/>
      <c r="D16" s="329"/>
      <c r="E16" s="329"/>
      <c r="F16" s="329"/>
      <c r="G16" s="285"/>
      <c r="H16" s="284">
        <f>EnergyLossInMatter_option(D16,E16,G3,F16,G16,2)</f>
        <v>0</v>
      </c>
      <c r="I16" s="285"/>
      <c r="J16" s="285"/>
      <c r="K16" s="279"/>
    </row>
    <row r="17" spans="1:11" ht="12.75">
      <c r="A17" s="279"/>
      <c r="B17" s="282"/>
      <c r="C17" s="282"/>
      <c r="D17" s="333"/>
      <c r="E17" s="333"/>
      <c r="F17" s="333"/>
      <c r="G17" s="283"/>
      <c r="H17" s="282">
        <f aca="true" t="shared" si="0" ref="H8:H38">EnergyLossInMatter_option(D17,E17,G13,F17,G17,2)</f>
        <v>0</v>
      </c>
      <c r="I17" s="283"/>
      <c r="J17" s="283"/>
      <c r="K17" s="279"/>
    </row>
    <row r="18" spans="1:11" ht="12.75">
      <c r="A18" s="279"/>
      <c r="B18" s="284"/>
      <c r="C18" s="284"/>
      <c r="D18" s="329"/>
      <c r="E18" s="329"/>
      <c r="F18" s="329"/>
      <c r="G18" s="285"/>
      <c r="H18" s="284">
        <f t="shared" si="0"/>
        <v>0</v>
      </c>
      <c r="I18" s="285"/>
      <c r="J18" s="285"/>
      <c r="K18" s="279"/>
    </row>
    <row r="19" spans="1:11" ht="12.75">
      <c r="A19" s="279"/>
      <c r="B19" s="282"/>
      <c r="C19" s="282"/>
      <c r="D19" s="333"/>
      <c r="E19" s="333"/>
      <c r="F19" s="333"/>
      <c r="G19" s="283"/>
      <c r="H19" s="335">
        <f t="shared" si="0"/>
        <v>0</v>
      </c>
      <c r="I19" s="283"/>
      <c r="J19" s="283"/>
      <c r="K19" s="279"/>
    </row>
    <row r="20" spans="1:11" ht="12.75">
      <c r="A20" s="279"/>
      <c r="B20" s="284"/>
      <c r="C20" s="284"/>
      <c r="D20" s="329"/>
      <c r="E20" s="329"/>
      <c r="F20" s="329"/>
      <c r="G20" s="285"/>
      <c r="H20" s="284">
        <f t="shared" si="0"/>
        <v>0</v>
      </c>
      <c r="I20" s="285"/>
      <c r="J20" s="285"/>
      <c r="K20" s="279"/>
    </row>
    <row r="21" spans="1:11" ht="12.75">
      <c r="A21" s="279"/>
      <c r="B21" s="282"/>
      <c r="C21" s="282"/>
      <c r="D21" s="333"/>
      <c r="E21" s="333"/>
      <c r="F21" s="333"/>
      <c r="G21" s="283"/>
      <c r="H21" s="282">
        <f t="shared" si="0"/>
        <v>0</v>
      </c>
      <c r="I21" s="283"/>
      <c r="J21" s="283"/>
      <c r="K21" s="279"/>
    </row>
    <row r="22" spans="1:11" ht="12.75">
      <c r="A22" s="279"/>
      <c r="B22" s="284"/>
      <c r="C22" s="284"/>
      <c r="D22" s="329"/>
      <c r="E22" s="329"/>
      <c r="F22" s="329"/>
      <c r="G22" s="285"/>
      <c r="H22" s="284">
        <f t="shared" si="0"/>
        <v>0</v>
      </c>
      <c r="I22" s="285"/>
      <c r="J22" s="285"/>
      <c r="K22" s="279"/>
    </row>
    <row r="23" spans="1:11" ht="12.75">
      <c r="A23" s="279"/>
      <c r="B23" s="282"/>
      <c r="C23" s="282"/>
      <c r="D23" s="333"/>
      <c r="E23" s="333"/>
      <c r="F23" s="333"/>
      <c r="G23" s="283"/>
      <c r="H23" s="282">
        <f t="shared" si="0"/>
        <v>0</v>
      </c>
      <c r="I23" s="283"/>
      <c r="J23" s="283"/>
      <c r="K23" s="279"/>
    </row>
    <row r="24" spans="1:11" ht="12.75">
      <c r="A24" s="279"/>
      <c r="B24" s="284"/>
      <c r="C24" s="284"/>
      <c r="D24" s="329"/>
      <c r="E24" s="329"/>
      <c r="F24" s="329"/>
      <c r="G24" s="285"/>
      <c r="H24" s="284">
        <f t="shared" si="0"/>
        <v>0</v>
      </c>
      <c r="I24" s="285"/>
      <c r="J24" s="285"/>
      <c r="K24" s="279"/>
    </row>
    <row r="25" spans="1:11" ht="12.75">
      <c r="A25" s="279"/>
      <c r="B25" s="282"/>
      <c r="C25" s="282"/>
      <c r="D25" s="333"/>
      <c r="E25" s="333"/>
      <c r="F25" s="333"/>
      <c r="G25" s="283"/>
      <c r="H25" s="282">
        <f t="shared" si="0"/>
        <v>0</v>
      </c>
      <c r="I25" s="283"/>
      <c r="J25" s="283"/>
      <c r="K25" s="279"/>
    </row>
    <row r="26" spans="1:11" ht="12.75">
      <c r="A26" s="279"/>
      <c r="B26" s="284"/>
      <c r="C26" s="284"/>
      <c r="D26" s="329"/>
      <c r="E26" s="329"/>
      <c r="F26" s="329"/>
      <c r="G26" s="285"/>
      <c r="H26" s="284">
        <f t="shared" si="0"/>
        <v>0</v>
      </c>
      <c r="I26" s="285"/>
      <c r="J26" s="285"/>
      <c r="K26" s="279"/>
    </row>
    <row r="27" spans="1:11" ht="12.75">
      <c r="A27" s="279"/>
      <c r="B27" s="282"/>
      <c r="C27" s="282"/>
      <c r="D27" s="333"/>
      <c r="E27" s="333"/>
      <c r="F27" s="333"/>
      <c r="G27" s="283"/>
      <c r="H27" s="282">
        <f t="shared" si="0"/>
        <v>0</v>
      </c>
      <c r="I27" s="283"/>
      <c r="J27" s="283"/>
      <c r="K27" s="279"/>
    </row>
    <row r="28" spans="1:11" ht="12.75">
      <c r="A28" s="279"/>
      <c r="B28" s="284"/>
      <c r="C28" s="284"/>
      <c r="D28" s="329"/>
      <c r="E28" s="329"/>
      <c r="F28" s="329"/>
      <c r="G28" s="285"/>
      <c r="H28" s="284">
        <f t="shared" si="0"/>
        <v>0</v>
      </c>
      <c r="I28" s="285"/>
      <c r="J28" s="285"/>
      <c r="K28" s="279"/>
    </row>
    <row r="29" spans="1:11" ht="12.75">
      <c r="A29" s="279"/>
      <c r="B29" s="282"/>
      <c r="C29" s="282"/>
      <c r="D29" s="333"/>
      <c r="E29" s="333"/>
      <c r="F29" s="333"/>
      <c r="G29" s="283"/>
      <c r="H29" s="282">
        <f t="shared" si="0"/>
        <v>0</v>
      </c>
      <c r="I29" s="283"/>
      <c r="J29" s="283"/>
      <c r="K29" s="279"/>
    </row>
    <row r="30" spans="1:11" ht="12.75">
      <c r="A30" s="279"/>
      <c r="B30" s="284"/>
      <c r="C30" s="284"/>
      <c r="D30" s="329"/>
      <c r="E30" s="329"/>
      <c r="F30" s="329"/>
      <c r="G30" s="285"/>
      <c r="H30" s="284">
        <f t="shared" si="0"/>
        <v>0</v>
      </c>
      <c r="I30" s="285"/>
      <c r="J30" s="285"/>
      <c r="K30" s="279"/>
    </row>
    <row r="31" spans="1:11" ht="12.75">
      <c r="A31" s="279"/>
      <c r="B31" s="282"/>
      <c r="C31" s="282"/>
      <c r="D31" s="333"/>
      <c r="E31" s="333"/>
      <c r="F31" s="333"/>
      <c r="G31" s="283"/>
      <c r="H31" s="282">
        <f t="shared" si="0"/>
        <v>0</v>
      </c>
      <c r="I31" s="283"/>
      <c r="J31" s="283"/>
      <c r="K31" s="279"/>
    </row>
    <row r="32" spans="1:11" ht="12.75">
      <c r="A32" s="279"/>
      <c r="B32" s="284"/>
      <c r="C32" s="284"/>
      <c r="D32" s="329"/>
      <c r="E32" s="329"/>
      <c r="F32" s="329"/>
      <c r="G32" s="285"/>
      <c r="H32" s="284">
        <f t="shared" si="0"/>
        <v>0</v>
      </c>
      <c r="I32" s="285"/>
      <c r="J32" s="285"/>
      <c r="K32" s="279"/>
    </row>
    <row r="33" spans="1:11" ht="12.75">
      <c r="A33" s="279"/>
      <c r="B33" s="282"/>
      <c r="C33" s="282"/>
      <c r="D33" s="333"/>
      <c r="E33" s="333"/>
      <c r="F33" s="333"/>
      <c r="G33" s="283"/>
      <c r="H33" s="282">
        <f t="shared" si="0"/>
        <v>0</v>
      </c>
      <c r="I33" s="283"/>
      <c r="J33" s="283"/>
      <c r="K33" s="279"/>
    </row>
    <row r="34" spans="1:11" ht="12.75">
      <c r="A34" s="279"/>
      <c r="B34" s="284"/>
      <c r="C34" s="284"/>
      <c r="D34" s="329"/>
      <c r="E34" s="329"/>
      <c r="F34" s="329"/>
      <c r="G34" s="285"/>
      <c r="H34" s="284">
        <f t="shared" si="0"/>
        <v>0</v>
      </c>
      <c r="I34" s="285"/>
      <c r="J34" s="285"/>
      <c r="K34" s="279"/>
    </row>
    <row r="35" spans="1:11" ht="12.75">
      <c r="A35" s="279"/>
      <c r="B35" s="282"/>
      <c r="C35" s="282"/>
      <c r="D35" s="333"/>
      <c r="E35" s="333"/>
      <c r="F35" s="333"/>
      <c r="G35" s="283"/>
      <c r="H35" s="282">
        <f t="shared" si="0"/>
        <v>0</v>
      </c>
      <c r="I35" s="283"/>
      <c r="J35" s="283"/>
      <c r="K35" s="279"/>
    </row>
    <row r="36" spans="1:11" ht="12.75">
      <c r="A36" s="279"/>
      <c r="B36" s="284"/>
      <c r="C36" s="284"/>
      <c r="D36" s="329"/>
      <c r="E36" s="329"/>
      <c r="F36" s="329"/>
      <c r="G36" s="285"/>
      <c r="H36" s="284">
        <f t="shared" si="0"/>
        <v>0</v>
      </c>
      <c r="I36" s="285"/>
      <c r="J36" s="285"/>
      <c r="K36" s="279"/>
    </row>
    <row r="37" spans="1:11" ht="12.75">
      <c r="A37" s="279"/>
      <c r="B37" s="282"/>
      <c r="C37" s="282"/>
      <c r="D37" s="333"/>
      <c r="E37" s="333"/>
      <c r="F37" s="333"/>
      <c r="G37" s="283"/>
      <c r="H37" s="282">
        <f t="shared" si="0"/>
        <v>0</v>
      </c>
      <c r="I37" s="283"/>
      <c r="J37" s="283"/>
      <c r="K37" s="279"/>
    </row>
    <row r="38" spans="1:11" ht="12.75" customHeight="1">
      <c r="A38" s="279"/>
      <c r="B38" s="284"/>
      <c r="C38" s="284"/>
      <c r="D38" s="329"/>
      <c r="E38" s="329"/>
      <c r="F38" s="329"/>
      <c r="G38" s="285"/>
      <c r="H38" s="284">
        <f t="shared" si="0"/>
        <v>0</v>
      </c>
      <c r="I38" s="285"/>
      <c r="J38" s="285"/>
      <c r="K38" s="279"/>
    </row>
    <row r="39" spans="1:11" ht="6" customHeight="1">
      <c r="A39" s="279"/>
      <c r="B39" s="278"/>
      <c r="C39" s="278"/>
      <c r="D39" s="327"/>
      <c r="E39" s="327"/>
      <c r="F39" s="323"/>
      <c r="G39" s="323"/>
      <c r="H39" s="323"/>
      <c r="I39" s="323"/>
      <c r="J39" s="323"/>
      <c r="K39" s="279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G439"/>
  <sheetViews>
    <sheetView showGridLines="0" showRowColHeaders="0" workbookViewId="0" topLeftCell="A1">
      <pane xSplit="7" ySplit="12" topLeftCell="H13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51" sqref="E51"/>
    </sheetView>
  </sheetViews>
  <sheetFormatPr defaultColWidth="9.140625" defaultRowHeight="12.75"/>
  <cols>
    <col min="1" max="1" width="1.8515625" style="64" customWidth="1"/>
    <col min="2" max="2" width="28.00390625" style="27" customWidth="1"/>
    <col min="3" max="3" width="25.421875" style="27" customWidth="1"/>
    <col min="4" max="4" width="31.7109375" style="27" customWidth="1"/>
    <col min="5" max="5" width="15.00390625" style="27" customWidth="1"/>
    <col min="6" max="6" width="9.140625" style="27" customWidth="1"/>
    <col min="7" max="7" width="9.57421875" style="27" customWidth="1"/>
    <col min="8" max="16384" width="9.140625" style="64" customWidth="1"/>
  </cols>
  <sheetData>
    <row r="1" ht="8.25" customHeight="1"/>
    <row r="2" spans="2:7" ht="29.25" customHeight="1" thickBot="1">
      <c r="B2" s="21" t="s">
        <v>144</v>
      </c>
      <c r="C2" s="22" t="s">
        <v>145</v>
      </c>
      <c r="D2" s="23" t="s">
        <v>159</v>
      </c>
      <c r="E2" s="296" t="s">
        <v>143</v>
      </c>
      <c r="F2" s="297"/>
      <c r="G2" s="209"/>
    </row>
    <row r="3" spans="2:7" ht="12.75">
      <c r="B3" s="24"/>
      <c r="C3" s="25"/>
      <c r="D3" s="26"/>
      <c r="E3" s="31" t="s">
        <v>134</v>
      </c>
      <c r="F3" s="35">
        <v>92</v>
      </c>
      <c r="G3" s="272" t="str">
        <f>+Show_Element(Zparticle)</f>
        <v>U</v>
      </c>
    </row>
    <row r="4" spans="2:7" ht="15" customHeight="1">
      <c r="B4" s="24"/>
      <c r="C4" s="25"/>
      <c r="D4" s="26"/>
      <c r="E4" s="31" t="s">
        <v>135</v>
      </c>
      <c r="F4" s="36">
        <v>238</v>
      </c>
      <c r="G4" s="28"/>
    </row>
    <row r="5" spans="2:7" ht="12.75">
      <c r="B5" s="24"/>
      <c r="C5" s="25"/>
      <c r="D5" s="26"/>
      <c r="E5" s="31" t="s">
        <v>136</v>
      </c>
      <c r="F5" s="36">
        <v>79</v>
      </c>
      <c r="G5" s="272" t="str">
        <f>+Show_Element(Ztarget)</f>
        <v>Au</v>
      </c>
    </row>
    <row r="6" spans="2:7" ht="12.75">
      <c r="B6" s="24"/>
      <c r="C6" s="25"/>
      <c r="D6" s="26"/>
      <c r="E6" s="31" t="s">
        <v>137</v>
      </c>
      <c r="F6" s="36">
        <v>197</v>
      </c>
      <c r="G6" s="28"/>
    </row>
    <row r="7" spans="2:7" ht="12.75">
      <c r="B7" s="24"/>
      <c r="C7" s="25"/>
      <c r="D7" s="26"/>
      <c r="E7" s="31" t="s">
        <v>138</v>
      </c>
      <c r="F7" s="36">
        <v>300</v>
      </c>
      <c r="G7" s="29" t="s">
        <v>161</v>
      </c>
    </row>
    <row r="8" spans="2:7" ht="12.75">
      <c r="B8" s="24"/>
      <c r="C8" s="25"/>
      <c r="D8" s="26"/>
      <c r="E8" s="31" t="s">
        <v>140</v>
      </c>
      <c r="F8" s="36">
        <v>10</v>
      </c>
      <c r="G8" s="29" t="s">
        <v>141</v>
      </c>
    </row>
    <row r="9" spans="2:7" ht="13.5" thickBot="1">
      <c r="B9" s="76"/>
      <c r="C9" s="77"/>
      <c r="D9" s="78"/>
      <c r="E9" s="32" t="s">
        <v>142</v>
      </c>
      <c r="F9" s="37">
        <v>0</v>
      </c>
      <c r="G9" s="30"/>
    </row>
    <row r="10" spans="2:7" ht="25.5" customHeight="1">
      <c r="B10" s="76"/>
      <c r="C10" s="77"/>
      <c r="D10" s="78"/>
      <c r="E10" s="224"/>
      <c r="F10" s="225"/>
      <c r="G10" s="50"/>
    </row>
    <row r="11" spans="2:6" ht="17.25" customHeight="1">
      <c r="B11" s="76" t="s">
        <v>158</v>
      </c>
      <c r="C11" s="77" t="s">
        <v>158</v>
      </c>
      <c r="D11" s="78" t="s">
        <v>158</v>
      </c>
      <c r="F11" s="63" t="s">
        <v>194</v>
      </c>
    </row>
    <row r="12" spans="2:7" ht="20.25" customHeight="1" thickBot="1">
      <c r="B12" s="50"/>
      <c r="C12" s="50"/>
      <c r="D12" s="50"/>
      <c r="E12" s="50"/>
      <c r="F12" s="50" t="s">
        <v>195</v>
      </c>
      <c r="G12" s="50"/>
    </row>
    <row r="13" spans="2:7" ht="18.75" thickTop="1">
      <c r="B13" s="51" t="s">
        <v>127</v>
      </c>
      <c r="C13" s="52" t="s">
        <v>128</v>
      </c>
      <c r="D13" s="52" t="s">
        <v>129</v>
      </c>
      <c r="E13" s="304" t="s">
        <v>139</v>
      </c>
      <c r="F13" s="304"/>
      <c r="G13" s="53"/>
    </row>
    <row r="14" spans="2:7" ht="38.25">
      <c r="B14" s="54" t="s">
        <v>130</v>
      </c>
      <c r="C14" s="33" t="s">
        <v>169</v>
      </c>
      <c r="D14" s="34" t="s">
        <v>312</v>
      </c>
      <c r="E14" s="65">
        <f>EnergyLossInMatter(Zparticle,Aparticle,energy,Ztarget,Thickness)</f>
        <v>299.35</v>
      </c>
      <c r="F14" s="298" t="s">
        <v>161</v>
      </c>
      <c r="G14" s="299"/>
    </row>
    <row r="15" spans="2:7" ht="38.25">
      <c r="B15" s="223" t="s">
        <v>311</v>
      </c>
      <c r="C15" s="33" t="s">
        <v>169</v>
      </c>
      <c r="D15" s="34" t="s">
        <v>313</v>
      </c>
      <c r="E15" s="65">
        <f>EnergyLossInMatter_option(Zparticle,Aparticle,energy,Ztarget,Thickness,Energy_loss_option)</f>
        <v>299.32</v>
      </c>
      <c r="F15" s="298" t="s">
        <v>161</v>
      </c>
      <c r="G15" s="299"/>
    </row>
    <row r="16" spans="2:7" ht="38.25">
      <c r="B16" s="54" t="s">
        <v>131</v>
      </c>
      <c r="C16" s="33" t="s">
        <v>132</v>
      </c>
      <c r="D16" s="34" t="s">
        <v>166</v>
      </c>
      <c r="E16" s="65">
        <f>RangeInMatter(Zparticle,Aparticle,energy,Ztarget)</f>
        <v>3147.039</v>
      </c>
      <c r="F16" s="298" t="s">
        <v>141</v>
      </c>
      <c r="G16" s="299"/>
    </row>
    <row r="17" spans="2:7" ht="38.25">
      <c r="B17" s="223" t="s">
        <v>309</v>
      </c>
      <c r="C17" s="33" t="s">
        <v>132</v>
      </c>
      <c r="D17" s="34" t="s">
        <v>310</v>
      </c>
      <c r="E17" s="65">
        <f>RangeInMatter_option(Zparticle,Aparticle,energy,Ztarget,Range_option)</f>
        <v>3358.583</v>
      </c>
      <c r="F17" s="298" t="s">
        <v>141</v>
      </c>
      <c r="G17" s="299"/>
    </row>
    <row r="18" spans="2:7" ht="51">
      <c r="B18" s="54" t="s">
        <v>162</v>
      </c>
      <c r="C18" s="38" t="s">
        <v>160</v>
      </c>
      <c r="D18" s="34" t="s">
        <v>167</v>
      </c>
      <c r="E18" s="66">
        <f>StragglingEnergy(Zparticle,Aparticle,energy,Ztarget,Thickness)</f>
        <v>0.017</v>
      </c>
      <c r="F18" s="300" t="s">
        <v>161</v>
      </c>
      <c r="G18" s="301"/>
    </row>
    <row r="19" spans="2:7" ht="42" customHeight="1" thickBot="1">
      <c r="B19" s="55" t="s">
        <v>163</v>
      </c>
      <c r="C19" s="41" t="s">
        <v>164</v>
      </c>
      <c r="D19" s="42" t="s">
        <v>166</v>
      </c>
      <c r="E19" s="67">
        <f>StragglingRange(Zparticle,Aparticle,energy,Ztarget)</f>
        <v>3.272</v>
      </c>
      <c r="F19" s="302" t="s">
        <v>141</v>
      </c>
      <c r="G19" s="303"/>
    </row>
    <row r="20" spans="2:7" ht="42" customHeight="1" thickTop="1">
      <c r="B20" s="57" t="s">
        <v>198</v>
      </c>
      <c r="C20" s="46" t="s">
        <v>200</v>
      </c>
      <c r="D20" s="47" t="s">
        <v>166</v>
      </c>
      <c r="E20" s="80">
        <f>StoppingPower(Zparticle,Aparticle,energy,Ztarget,0)</f>
        <v>14.83037</v>
      </c>
      <c r="F20" s="292" t="s">
        <v>199</v>
      </c>
      <c r="G20" s="293"/>
    </row>
    <row r="21" spans="2:7" ht="42" customHeight="1">
      <c r="B21" s="57" t="s">
        <v>198</v>
      </c>
      <c r="C21" s="46" t="s">
        <v>201</v>
      </c>
      <c r="D21" s="47" t="s">
        <v>166</v>
      </c>
      <c r="E21" s="80">
        <f>StoppingPower(Zparticle,Aparticle,energy,Ztarget,1)</f>
        <v>15.47218</v>
      </c>
      <c r="F21" s="292" t="s">
        <v>199</v>
      </c>
      <c r="G21" s="293"/>
    </row>
    <row r="22" spans="2:7" ht="42" customHeight="1">
      <c r="B22" s="57" t="s">
        <v>198</v>
      </c>
      <c r="C22" s="46" t="s">
        <v>202</v>
      </c>
      <c r="D22" s="47" t="s">
        <v>166</v>
      </c>
      <c r="E22" s="80">
        <f>StoppingPower(Zparticle,Aparticle,energy,Ztarget,2)</f>
        <v>16.18533</v>
      </c>
      <c r="F22" s="292" t="s">
        <v>199</v>
      </c>
      <c r="G22" s="293"/>
    </row>
    <row r="23" spans="2:7" ht="39" thickBot="1">
      <c r="B23" s="57" t="s">
        <v>198</v>
      </c>
      <c r="C23" s="81" t="s">
        <v>203</v>
      </c>
      <c r="D23" s="47" t="s">
        <v>166</v>
      </c>
      <c r="E23" s="80">
        <f>StoppingPower(Zparticle,Aparticle,energy,Ztarget,3)</f>
        <v>15.31177</v>
      </c>
      <c r="F23" s="292" t="s">
        <v>199</v>
      </c>
      <c r="G23" s="293"/>
    </row>
    <row r="24" spans="2:7" ht="16.5" thickTop="1">
      <c r="B24" s="56" t="s">
        <v>33</v>
      </c>
      <c r="C24" s="39" t="s">
        <v>146</v>
      </c>
      <c r="D24" s="40" t="s">
        <v>32</v>
      </c>
      <c r="E24" s="68">
        <f>+Mass(Zparticle)</f>
        <v>238.03</v>
      </c>
      <c r="F24" s="274"/>
      <c r="G24" s="275"/>
    </row>
    <row r="25" spans="2:7" ht="15.75">
      <c r="B25" s="54" t="s">
        <v>149</v>
      </c>
      <c r="C25" s="33" t="s">
        <v>148</v>
      </c>
      <c r="D25" s="34" t="s">
        <v>147</v>
      </c>
      <c r="E25" s="66">
        <f>show_Z(E26)</f>
        <v>92</v>
      </c>
      <c r="F25" s="276"/>
      <c r="G25" s="287"/>
    </row>
    <row r="26" spans="2:7" ht="38.25">
      <c r="B26" s="54" t="s">
        <v>150</v>
      </c>
      <c r="C26" s="33" t="s">
        <v>169</v>
      </c>
      <c r="D26" s="34" t="s">
        <v>314</v>
      </c>
      <c r="E26" s="66" t="str">
        <f>Show_Element(Zparticle)</f>
        <v>U</v>
      </c>
      <c r="F26" s="276"/>
      <c r="G26" s="287"/>
    </row>
    <row r="27" spans="2:7" ht="25.5">
      <c r="B27" s="57" t="s">
        <v>153</v>
      </c>
      <c r="C27" s="46" t="s">
        <v>154</v>
      </c>
      <c r="D27" s="47" t="s">
        <v>156</v>
      </c>
      <c r="E27" s="69">
        <f>Mg2Mkm(Thickness,Ztarget)</f>
        <v>5.181347150259067</v>
      </c>
      <c r="F27" s="288" t="s">
        <v>152</v>
      </c>
      <c r="G27" s="289"/>
    </row>
    <row r="28" spans="2:7" ht="26.25" thickBot="1">
      <c r="B28" s="58" t="s">
        <v>151</v>
      </c>
      <c r="C28" s="48" t="s">
        <v>155</v>
      </c>
      <c r="D28" s="49" t="s">
        <v>157</v>
      </c>
      <c r="E28" s="70">
        <f>Mkm2Mg(E27,Ztarget)</f>
        <v>10</v>
      </c>
      <c r="F28" s="290" t="s">
        <v>141</v>
      </c>
      <c r="G28" s="291"/>
    </row>
    <row r="29" spans="2:7" ht="26.25" thickTop="1">
      <c r="B29" s="56" t="s">
        <v>172</v>
      </c>
      <c r="C29" s="43" t="s">
        <v>173</v>
      </c>
      <c r="D29" s="40" t="s">
        <v>174</v>
      </c>
      <c r="E29" s="71">
        <f>Beta2Energy(E30)</f>
        <v>300</v>
      </c>
      <c r="F29" s="274"/>
      <c r="G29" s="275"/>
    </row>
    <row r="30" spans="2:7" ht="25.5">
      <c r="B30" s="56" t="s">
        <v>165</v>
      </c>
      <c r="C30" s="43" t="s">
        <v>171</v>
      </c>
      <c r="D30" s="40" t="s">
        <v>170</v>
      </c>
      <c r="E30" s="72">
        <f>Energy2Beta(energy)</f>
        <v>0.6541169155058265</v>
      </c>
      <c r="F30" s="276"/>
      <c r="G30" s="287"/>
    </row>
    <row r="31" spans="2:7" ht="25.5">
      <c r="B31" s="56" t="s">
        <v>176</v>
      </c>
      <c r="C31" s="43" t="s">
        <v>178</v>
      </c>
      <c r="D31" s="40" t="s">
        <v>174</v>
      </c>
      <c r="E31" s="73">
        <f>Beta2Gamma(E30)</f>
        <v>1.3220632616132553</v>
      </c>
      <c r="F31" s="276"/>
      <c r="G31" s="287"/>
    </row>
    <row r="32" spans="2:7" ht="25.5">
      <c r="B32" s="56" t="s">
        <v>175</v>
      </c>
      <c r="C32" s="43" t="s">
        <v>177</v>
      </c>
      <c r="D32" s="40" t="s">
        <v>179</v>
      </c>
      <c r="E32" s="72">
        <f>Gamma2Beta(E31)</f>
        <v>0.6541169155058265</v>
      </c>
      <c r="F32" s="276"/>
      <c r="G32" s="287"/>
    </row>
    <row r="33" spans="2:7" ht="25.5">
      <c r="B33" s="56" t="s">
        <v>183</v>
      </c>
      <c r="C33" s="43" t="s">
        <v>180</v>
      </c>
      <c r="D33" s="40" t="s">
        <v>179</v>
      </c>
      <c r="E33" s="71">
        <f>Gamma2Energy(E34)</f>
        <v>300</v>
      </c>
      <c r="F33" s="276"/>
      <c r="G33" s="287"/>
    </row>
    <row r="34" spans="2:7" ht="25.5">
      <c r="B34" s="56" t="s">
        <v>181</v>
      </c>
      <c r="C34" s="43" t="s">
        <v>182</v>
      </c>
      <c r="D34" s="40" t="s">
        <v>170</v>
      </c>
      <c r="E34" s="72">
        <f>Energy2Gamma(energy)</f>
        <v>1.3220632616132553</v>
      </c>
      <c r="F34" s="276"/>
      <c r="G34" s="287"/>
    </row>
    <row r="35" spans="2:7" ht="38.25">
      <c r="B35" s="56" t="s">
        <v>185</v>
      </c>
      <c r="C35" s="43" t="s">
        <v>186</v>
      </c>
      <c r="D35" s="40" t="s">
        <v>188</v>
      </c>
      <c r="E35" s="71">
        <f>Brho2Energy(E36,Aparticle,Zparticle)</f>
        <v>300</v>
      </c>
      <c r="F35" s="212"/>
      <c r="G35" s="213"/>
    </row>
    <row r="36" spans="2:7" ht="39" thickBot="1">
      <c r="B36" s="59" t="s">
        <v>184</v>
      </c>
      <c r="C36" s="44" t="s">
        <v>187</v>
      </c>
      <c r="D36" s="45" t="s">
        <v>189</v>
      </c>
      <c r="E36" s="74">
        <f>Energy2Brho(energy,Aparticle,Zparticle)</f>
        <v>6.95114122390137</v>
      </c>
      <c r="F36" s="214"/>
      <c r="G36" s="215"/>
    </row>
    <row r="37" spans="2:7" ht="39" thickTop="1">
      <c r="B37" s="218" t="s">
        <v>294</v>
      </c>
      <c r="C37" s="219" t="s">
        <v>296</v>
      </c>
      <c r="D37" s="220" t="s">
        <v>301</v>
      </c>
      <c r="E37" s="221">
        <f>Energy2Momentum(energy,Aparticle)</f>
        <v>191718.77352889362</v>
      </c>
      <c r="F37" s="210"/>
      <c r="G37" s="211"/>
    </row>
    <row r="38" spans="2:7" ht="39" thickBot="1">
      <c r="B38" s="56" t="s">
        <v>293</v>
      </c>
      <c r="C38" s="43" t="s">
        <v>295</v>
      </c>
      <c r="D38" s="40" t="s">
        <v>302</v>
      </c>
      <c r="E38" s="71">
        <f>Momentum2Energy(E37,Aparticle)</f>
        <v>299.9999999999999</v>
      </c>
      <c r="F38" s="216"/>
      <c r="G38" s="217"/>
    </row>
    <row r="39" spans="2:7" ht="39" thickTop="1">
      <c r="B39" s="218" t="s">
        <v>299</v>
      </c>
      <c r="C39" s="219" t="s">
        <v>303</v>
      </c>
      <c r="D39" s="220" t="s">
        <v>298</v>
      </c>
      <c r="E39" s="221">
        <f>Brho2Momentum(E36,Zparticle)</f>
        <v>191718.77352889365</v>
      </c>
      <c r="F39" s="210"/>
      <c r="G39" s="211"/>
    </row>
    <row r="40" spans="2:7" ht="39" thickBot="1">
      <c r="B40" s="56" t="s">
        <v>300</v>
      </c>
      <c r="C40" s="43" t="s">
        <v>304</v>
      </c>
      <c r="D40" s="40" t="s">
        <v>297</v>
      </c>
      <c r="E40" s="73">
        <f>Momentum2Brho(E39,Zparticle)</f>
        <v>6.951141223901369</v>
      </c>
      <c r="F40" s="216"/>
      <c r="G40" s="217"/>
    </row>
    <row r="41" spans="2:7" ht="39.75" thickBot="1" thickTop="1">
      <c r="B41" s="60" t="s">
        <v>190</v>
      </c>
      <c r="C41" s="61" t="s">
        <v>192</v>
      </c>
      <c r="D41" s="62" t="s">
        <v>191</v>
      </c>
      <c r="E41" s="75">
        <f>EPAX.EPAX(Aparticle,Zparticle,Atarget,Ztarget,Afragment,Zfragment)</f>
        <v>8.079507312415623E-41</v>
      </c>
      <c r="F41" s="294" t="s">
        <v>193</v>
      </c>
      <c r="G41" s="295"/>
    </row>
    <row r="42" spans="2:7" ht="39.75" thickBot="1" thickTop="1">
      <c r="B42" s="82" t="s">
        <v>341</v>
      </c>
      <c r="C42" s="83" t="s">
        <v>133</v>
      </c>
      <c r="D42" s="84" t="s">
        <v>168</v>
      </c>
      <c r="E42" s="226">
        <f>ChargeState(energy,Zparticle,Ztarget,ZmQ)</f>
        <v>0.14454</v>
      </c>
      <c r="F42" s="286" t="s">
        <v>133</v>
      </c>
      <c r="G42" s="273"/>
    </row>
    <row r="43" spans="2:7" ht="39.75" thickBot="1" thickTop="1">
      <c r="B43" s="222" t="s">
        <v>342</v>
      </c>
      <c r="C43" s="83" t="s">
        <v>133</v>
      </c>
      <c r="D43" s="84" t="s">
        <v>305</v>
      </c>
      <c r="E43" s="226">
        <f>ChargeState_option(energy,Zparticle,Ztarget,ZmQ,Opt)</f>
        <v>15.40862</v>
      </c>
      <c r="F43" s="286" t="s">
        <v>133</v>
      </c>
      <c r="G43" s="273"/>
    </row>
    <row r="44" spans="2:7" ht="39.75" thickBot="1" thickTop="1">
      <c r="B44" s="222" t="s">
        <v>354</v>
      </c>
      <c r="C44" s="83"/>
      <c r="D44" s="84" t="s">
        <v>353</v>
      </c>
      <c r="E44" s="226">
        <f>Charge_Qmean(energy,Zparticle,Ztarget,Opt)</f>
        <v>90.64</v>
      </c>
      <c r="F44" s="286"/>
      <c r="G44" s="273"/>
    </row>
    <row r="45" spans="2:7" ht="39.75" thickBot="1" thickTop="1">
      <c r="B45" s="222" t="s">
        <v>355</v>
      </c>
      <c r="C45" s="83"/>
      <c r="D45" s="84" t="s">
        <v>353</v>
      </c>
      <c r="E45" s="226">
        <f>Charge_dQ(energy,Zparticle,Ztarget,Opt)</f>
        <v>0.906</v>
      </c>
      <c r="F45" s="286"/>
      <c r="G45" s="273"/>
    </row>
    <row r="46" spans="2:7" ht="13.5" thickTop="1">
      <c r="B46" s="64"/>
      <c r="D46" s="64"/>
      <c r="E46" s="64"/>
      <c r="F46" s="64"/>
      <c r="G46" s="64"/>
    </row>
    <row r="47" spans="2:7" ht="13.5" thickBot="1">
      <c r="B47" s="64"/>
      <c r="D47" s="64"/>
      <c r="E47" s="64"/>
      <c r="F47" s="64"/>
      <c r="G47" s="64"/>
    </row>
    <row r="48" spans="2:7" ht="12.75">
      <c r="B48" s="205" t="s">
        <v>286</v>
      </c>
      <c r="D48" s="79" t="s">
        <v>196</v>
      </c>
      <c r="E48" s="35">
        <v>24</v>
      </c>
      <c r="F48" s="64"/>
      <c r="G48" s="64"/>
    </row>
    <row r="49" spans="2:7" ht="12.75">
      <c r="B49" s="206" t="s">
        <v>287</v>
      </c>
      <c r="D49" s="32" t="s">
        <v>197</v>
      </c>
      <c r="E49" s="36">
        <v>12</v>
      </c>
      <c r="F49" s="64"/>
      <c r="G49" s="64"/>
    </row>
    <row r="50" spans="2:7" ht="12.75">
      <c r="B50" s="207" t="s">
        <v>288</v>
      </c>
      <c r="D50" s="32" t="s">
        <v>306</v>
      </c>
      <c r="E50" s="36">
        <v>0</v>
      </c>
      <c r="F50" s="64"/>
      <c r="G50" s="64"/>
    </row>
    <row r="51" spans="2:7" ht="12.75">
      <c r="B51" s="208" t="s">
        <v>289</v>
      </c>
      <c r="C51" s="64"/>
      <c r="D51" s="32" t="s">
        <v>307</v>
      </c>
      <c r="E51" s="36">
        <v>0</v>
      </c>
      <c r="F51" s="64"/>
      <c r="G51" s="64"/>
    </row>
    <row r="52" spans="2:7" ht="13.5" thickBot="1">
      <c r="B52" s="64"/>
      <c r="C52" s="64"/>
      <c r="D52" s="32" t="s">
        <v>308</v>
      </c>
      <c r="E52" s="37">
        <v>2</v>
      </c>
      <c r="F52" s="64"/>
      <c r="G52" s="64"/>
    </row>
    <row r="53" spans="2:7" ht="12.75">
      <c r="B53" s="205" t="s">
        <v>290</v>
      </c>
      <c r="C53" s="64"/>
      <c r="D53" s="64"/>
      <c r="E53" s="63" t="s">
        <v>194</v>
      </c>
      <c r="F53" s="64"/>
      <c r="G53" s="64"/>
    </row>
    <row r="54" spans="2:7" ht="12.75">
      <c r="B54" s="207" t="s">
        <v>291</v>
      </c>
      <c r="C54" s="64"/>
      <c r="D54" s="64"/>
      <c r="E54" s="50" t="s">
        <v>195</v>
      </c>
      <c r="F54" s="64"/>
      <c r="G54" s="64"/>
    </row>
    <row r="55" spans="2:7" ht="12.75">
      <c r="B55" s="208" t="s">
        <v>292</v>
      </c>
      <c r="C55" s="64"/>
      <c r="D55" s="64"/>
      <c r="E55" s="64"/>
      <c r="F55" s="64"/>
      <c r="G55" s="64"/>
    </row>
    <row r="56" spans="2:7" ht="12.75">
      <c r="B56" s="64"/>
      <c r="C56" s="64"/>
      <c r="D56" s="64"/>
      <c r="E56" s="64"/>
      <c r="F56" s="64"/>
      <c r="G56" s="64"/>
    </row>
    <row r="57" spans="2:7" ht="12.75">
      <c r="B57" s="64"/>
      <c r="C57" s="64"/>
      <c r="D57" s="64"/>
      <c r="E57" s="64"/>
      <c r="F57" s="64"/>
      <c r="G57" s="64"/>
    </row>
    <row r="58" spans="2:7" ht="12.75">
      <c r="B58" s="64" t="s">
        <v>343</v>
      </c>
      <c r="C58" s="64"/>
      <c r="D58" s="64"/>
      <c r="E58" s="64"/>
      <c r="F58" s="64"/>
      <c r="G58" s="64"/>
    </row>
    <row r="59" spans="2:7" ht="12.75">
      <c r="B59" s="64"/>
      <c r="C59" s="64"/>
      <c r="D59" s="64"/>
      <c r="E59" s="64"/>
      <c r="F59" s="64"/>
      <c r="G59" s="64"/>
    </row>
    <row r="60" spans="2:7" ht="12.75">
      <c r="B60" s="64"/>
      <c r="C60" s="64"/>
      <c r="D60" s="64"/>
      <c r="E60" s="64"/>
      <c r="F60" s="64"/>
      <c r="G60" s="64"/>
    </row>
    <row r="61" spans="2:7" ht="12.75">
      <c r="B61" s="64"/>
      <c r="C61" s="64"/>
      <c r="D61" s="64"/>
      <c r="E61" s="64"/>
      <c r="F61" s="64"/>
      <c r="G61" s="64"/>
    </row>
    <row r="62" spans="2:7" ht="12.75">
      <c r="B62" s="64"/>
      <c r="C62" s="64"/>
      <c r="D62" s="64"/>
      <c r="E62" s="64"/>
      <c r="F62" s="64"/>
      <c r="G62" s="64"/>
    </row>
    <row r="63" spans="2:7" ht="12.75">
      <c r="B63" s="64"/>
      <c r="C63" s="64"/>
      <c r="D63" s="64"/>
      <c r="E63" s="64"/>
      <c r="F63" s="64"/>
      <c r="G63" s="64"/>
    </row>
    <row r="64" spans="2:7" ht="12.75">
      <c r="B64" s="64"/>
      <c r="C64" s="64"/>
      <c r="D64" s="64"/>
      <c r="E64" s="64"/>
      <c r="F64" s="64"/>
      <c r="G64" s="64"/>
    </row>
    <row r="65" spans="2:7" ht="12.75">
      <c r="B65" s="64"/>
      <c r="C65" s="64"/>
      <c r="D65" s="64"/>
      <c r="E65" s="64"/>
      <c r="F65" s="64"/>
      <c r="G65" s="64"/>
    </row>
    <row r="66" spans="2:7" ht="12.75">
      <c r="B66" s="64"/>
      <c r="C66" s="64"/>
      <c r="D66" s="64"/>
      <c r="E66" s="64"/>
      <c r="F66" s="64"/>
      <c r="G66" s="64"/>
    </row>
    <row r="67" spans="2:7" ht="12.75">
      <c r="B67" s="64"/>
      <c r="C67" s="64"/>
      <c r="D67" s="64"/>
      <c r="E67" s="64"/>
      <c r="F67" s="64"/>
      <c r="G67" s="64"/>
    </row>
    <row r="68" spans="2:7" ht="12.75">
      <c r="B68" s="64"/>
      <c r="C68" s="64"/>
      <c r="D68" s="64"/>
      <c r="E68" s="64"/>
      <c r="F68" s="64"/>
      <c r="G68" s="64"/>
    </row>
    <row r="69" spans="2:7" ht="12.75">
      <c r="B69" s="64"/>
      <c r="C69" s="64"/>
      <c r="D69" s="64"/>
      <c r="E69" s="64"/>
      <c r="F69" s="64"/>
      <c r="G69" s="64"/>
    </row>
    <row r="70" spans="2:7" ht="12.75">
      <c r="B70" s="64"/>
      <c r="C70" s="64"/>
      <c r="D70" s="64"/>
      <c r="E70" s="64"/>
      <c r="F70" s="64"/>
      <c r="G70" s="64"/>
    </row>
    <row r="71" spans="2:7" ht="12.75">
      <c r="B71" s="64"/>
      <c r="C71" s="64"/>
      <c r="D71" s="64"/>
      <c r="E71" s="64"/>
      <c r="F71" s="64"/>
      <c r="G71" s="64"/>
    </row>
    <row r="72" spans="2:7" ht="12.75">
      <c r="B72" s="64"/>
      <c r="C72" s="64"/>
      <c r="D72" s="64"/>
      <c r="E72" s="64"/>
      <c r="F72" s="64"/>
      <c r="G72" s="64"/>
    </row>
    <row r="73" spans="2:7" ht="12.75">
      <c r="B73" s="64"/>
      <c r="C73" s="64"/>
      <c r="D73" s="64"/>
      <c r="E73" s="64"/>
      <c r="F73" s="64"/>
      <c r="G73" s="64"/>
    </row>
    <row r="74" spans="2:7" ht="12.75">
      <c r="B74" s="64"/>
      <c r="C74" s="64"/>
      <c r="D74" s="64"/>
      <c r="E74" s="64"/>
      <c r="F74" s="64"/>
      <c r="G74" s="64"/>
    </row>
    <row r="75" spans="2:7" ht="12.75">
      <c r="B75" s="64"/>
      <c r="C75" s="64"/>
      <c r="D75" s="64"/>
      <c r="E75" s="64"/>
      <c r="F75" s="64"/>
      <c r="G75" s="64"/>
    </row>
    <row r="76" spans="2:7" ht="12.75">
      <c r="B76" s="64"/>
      <c r="C76" s="64"/>
      <c r="D76" s="64"/>
      <c r="E76" s="64"/>
      <c r="F76" s="64"/>
      <c r="G76" s="64"/>
    </row>
    <row r="77" spans="2:7" ht="12.75">
      <c r="B77" s="64"/>
      <c r="C77" s="64"/>
      <c r="D77" s="64"/>
      <c r="E77" s="64"/>
      <c r="F77" s="64"/>
      <c r="G77" s="64"/>
    </row>
    <row r="78" spans="2:7" ht="12.75">
      <c r="B78" s="64"/>
      <c r="C78" s="64"/>
      <c r="D78" s="64"/>
      <c r="E78" s="64"/>
      <c r="F78" s="64"/>
      <c r="G78" s="64"/>
    </row>
    <row r="79" spans="2:7" ht="12.75">
      <c r="B79" s="64"/>
      <c r="C79" s="64"/>
      <c r="D79" s="64"/>
      <c r="E79" s="64"/>
      <c r="F79" s="64"/>
      <c r="G79" s="64"/>
    </row>
    <row r="80" spans="2:7" ht="12.75">
      <c r="B80" s="64"/>
      <c r="C80" s="64"/>
      <c r="D80" s="64"/>
      <c r="E80" s="64"/>
      <c r="F80" s="64"/>
      <c r="G80" s="64"/>
    </row>
    <row r="81" spans="2:7" ht="12.75">
      <c r="B81" s="64"/>
      <c r="C81" s="64"/>
      <c r="D81" s="64"/>
      <c r="E81" s="64"/>
      <c r="F81" s="64"/>
      <c r="G81" s="64"/>
    </row>
    <row r="82" spans="2:7" ht="12.75">
      <c r="B82" s="64"/>
      <c r="C82" s="64"/>
      <c r="D82" s="64"/>
      <c r="E82" s="64"/>
      <c r="F82" s="64"/>
      <c r="G82" s="64"/>
    </row>
    <row r="83" spans="2:7" ht="12.75">
      <c r="B83" s="64"/>
      <c r="C83" s="64"/>
      <c r="D83" s="64"/>
      <c r="E83" s="64"/>
      <c r="F83" s="64"/>
      <c r="G83" s="64"/>
    </row>
    <row r="84" spans="2:7" ht="12.75">
      <c r="B84" s="64"/>
      <c r="C84" s="64"/>
      <c r="D84" s="64"/>
      <c r="E84" s="64"/>
      <c r="F84" s="64"/>
      <c r="G84" s="64"/>
    </row>
    <row r="85" spans="2:7" ht="12.75">
      <c r="B85" s="64"/>
      <c r="C85" s="64"/>
      <c r="D85" s="64"/>
      <c r="E85" s="64"/>
      <c r="F85" s="64"/>
      <c r="G85" s="64"/>
    </row>
    <row r="86" spans="2:7" ht="12.75">
      <c r="B86" s="64"/>
      <c r="C86" s="64"/>
      <c r="D86" s="64"/>
      <c r="E86" s="64"/>
      <c r="F86" s="64"/>
      <c r="G86" s="64"/>
    </row>
    <row r="87" spans="2:7" ht="12.75">
      <c r="B87" s="64"/>
      <c r="C87" s="64"/>
      <c r="D87" s="64"/>
      <c r="E87" s="64"/>
      <c r="F87" s="64"/>
      <c r="G87" s="64"/>
    </row>
    <row r="88" spans="2:7" ht="12.75">
      <c r="B88" s="64"/>
      <c r="C88" s="64"/>
      <c r="D88" s="64"/>
      <c r="E88" s="64"/>
      <c r="F88" s="64"/>
      <c r="G88" s="64"/>
    </row>
    <row r="89" spans="2:7" ht="12.75">
      <c r="B89" s="64"/>
      <c r="C89" s="64"/>
      <c r="D89" s="64"/>
      <c r="E89" s="64"/>
      <c r="F89" s="64"/>
      <c r="G89" s="64"/>
    </row>
    <row r="90" spans="2:7" ht="12.75">
      <c r="B90" s="64"/>
      <c r="C90" s="64"/>
      <c r="D90" s="64"/>
      <c r="E90" s="64"/>
      <c r="F90" s="64"/>
      <c r="G90" s="64"/>
    </row>
    <row r="91" spans="2:7" ht="12.75">
      <c r="B91" s="64"/>
      <c r="C91" s="64"/>
      <c r="D91" s="64"/>
      <c r="E91" s="64"/>
      <c r="F91" s="64"/>
      <c r="G91" s="64"/>
    </row>
    <row r="92" spans="2:7" ht="12.75">
      <c r="B92" s="64"/>
      <c r="C92" s="64"/>
      <c r="D92" s="64"/>
      <c r="E92" s="64"/>
      <c r="F92" s="64"/>
      <c r="G92" s="64"/>
    </row>
    <row r="93" spans="2:7" ht="12.75">
      <c r="B93" s="64"/>
      <c r="C93" s="64"/>
      <c r="D93" s="64"/>
      <c r="E93" s="64"/>
      <c r="F93" s="64"/>
      <c r="G93" s="64"/>
    </row>
    <row r="94" spans="2:7" ht="12.75">
      <c r="B94" s="64"/>
      <c r="C94" s="64"/>
      <c r="D94" s="64"/>
      <c r="E94" s="64"/>
      <c r="F94" s="64"/>
      <c r="G94" s="64"/>
    </row>
    <row r="95" spans="2:7" ht="12.75">
      <c r="B95" s="64"/>
      <c r="C95" s="64"/>
      <c r="D95" s="64"/>
      <c r="E95" s="64"/>
      <c r="F95" s="64"/>
      <c r="G95" s="64"/>
    </row>
    <row r="96" spans="2:7" ht="12.75">
      <c r="B96" s="64"/>
      <c r="C96" s="64"/>
      <c r="D96" s="64"/>
      <c r="E96" s="64"/>
      <c r="F96" s="64"/>
      <c r="G96" s="64"/>
    </row>
    <row r="97" spans="2:7" ht="12.75">
      <c r="B97" s="64"/>
      <c r="C97" s="64"/>
      <c r="D97" s="64"/>
      <c r="E97" s="64"/>
      <c r="F97" s="64"/>
      <c r="G97" s="64"/>
    </row>
    <row r="98" spans="2:7" ht="12.75">
      <c r="B98" s="64"/>
      <c r="C98" s="64"/>
      <c r="D98" s="64"/>
      <c r="E98" s="64"/>
      <c r="F98" s="64"/>
      <c r="G98" s="64"/>
    </row>
    <row r="99" spans="2:7" ht="12.75">
      <c r="B99" s="64"/>
      <c r="C99" s="64"/>
      <c r="D99" s="64"/>
      <c r="E99" s="64"/>
      <c r="F99" s="64"/>
      <c r="G99" s="64"/>
    </row>
    <row r="100" spans="2:7" ht="12.75">
      <c r="B100" s="64"/>
      <c r="C100" s="64"/>
      <c r="D100" s="64"/>
      <c r="E100" s="64"/>
      <c r="F100" s="64"/>
      <c r="G100" s="64"/>
    </row>
    <row r="101" spans="2:7" ht="12.75">
      <c r="B101" s="64"/>
      <c r="C101" s="64"/>
      <c r="D101" s="64"/>
      <c r="E101" s="64"/>
      <c r="F101" s="64"/>
      <c r="G101" s="64"/>
    </row>
    <row r="102" spans="2:7" ht="12.75">
      <c r="B102" s="64"/>
      <c r="C102" s="64"/>
      <c r="D102" s="64"/>
      <c r="E102" s="64"/>
      <c r="F102" s="64"/>
      <c r="G102" s="64"/>
    </row>
    <row r="103" spans="2:7" ht="12.75">
      <c r="B103" s="64"/>
      <c r="C103" s="64"/>
      <c r="D103" s="64"/>
      <c r="E103" s="64"/>
      <c r="F103" s="64"/>
      <c r="G103" s="64"/>
    </row>
    <row r="104" spans="2:7" ht="12.75">
      <c r="B104" s="64"/>
      <c r="C104" s="64"/>
      <c r="D104" s="64"/>
      <c r="E104" s="64"/>
      <c r="F104" s="64"/>
      <c r="G104" s="64"/>
    </row>
    <row r="105" spans="2:7" ht="12.75">
      <c r="B105" s="64"/>
      <c r="C105" s="64"/>
      <c r="D105" s="64"/>
      <c r="E105" s="64"/>
      <c r="F105" s="64"/>
      <c r="G105" s="64"/>
    </row>
    <row r="106" spans="2:7" ht="12.75">
      <c r="B106" s="64"/>
      <c r="C106" s="64"/>
      <c r="D106" s="64"/>
      <c r="E106" s="64"/>
      <c r="F106" s="64"/>
      <c r="G106" s="64"/>
    </row>
    <row r="107" spans="2:7" ht="12.75">
      <c r="B107" s="64"/>
      <c r="C107" s="64"/>
      <c r="D107" s="64"/>
      <c r="E107" s="64"/>
      <c r="F107" s="64"/>
      <c r="G107" s="64"/>
    </row>
    <row r="108" spans="2:7" ht="12.75">
      <c r="B108" s="64"/>
      <c r="C108" s="64"/>
      <c r="D108" s="64"/>
      <c r="E108" s="64"/>
      <c r="F108" s="64"/>
      <c r="G108" s="64"/>
    </row>
    <row r="109" spans="2:7" ht="12.75">
      <c r="B109" s="64"/>
      <c r="C109" s="64"/>
      <c r="D109" s="64"/>
      <c r="E109" s="64"/>
      <c r="F109" s="64"/>
      <c r="G109" s="64"/>
    </row>
    <row r="110" spans="2:7" ht="12.75">
      <c r="B110" s="64"/>
      <c r="C110" s="64"/>
      <c r="D110" s="64"/>
      <c r="E110" s="64"/>
      <c r="F110" s="64"/>
      <c r="G110" s="64"/>
    </row>
    <row r="111" spans="2:7" ht="12.75">
      <c r="B111" s="64"/>
      <c r="C111" s="64"/>
      <c r="D111" s="64"/>
      <c r="E111" s="64"/>
      <c r="F111" s="64"/>
      <c r="G111" s="64"/>
    </row>
    <row r="112" spans="2:7" ht="12.75">
      <c r="B112" s="64"/>
      <c r="C112" s="64"/>
      <c r="D112" s="64"/>
      <c r="E112" s="64"/>
      <c r="F112" s="64"/>
      <c r="G112" s="64"/>
    </row>
    <row r="113" spans="2:7" ht="12.75">
      <c r="B113" s="64"/>
      <c r="C113" s="64"/>
      <c r="D113" s="64"/>
      <c r="E113" s="64"/>
      <c r="F113" s="64"/>
      <c r="G113" s="64"/>
    </row>
    <row r="114" spans="2:7" ht="12.75">
      <c r="B114" s="64"/>
      <c r="C114" s="64"/>
      <c r="D114" s="64"/>
      <c r="E114" s="64"/>
      <c r="F114" s="64"/>
      <c r="G114" s="64"/>
    </row>
    <row r="115" spans="2:7" ht="12.75">
      <c r="B115" s="64"/>
      <c r="C115" s="64"/>
      <c r="D115" s="64"/>
      <c r="E115" s="64"/>
      <c r="F115" s="64"/>
      <c r="G115" s="64"/>
    </row>
    <row r="116" spans="2:7" ht="12.75">
      <c r="B116" s="64"/>
      <c r="C116" s="64"/>
      <c r="D116" s="64"/>
      <c r="E116" s="64"/>
      <c r="F116" s="64"/>
      <c r="G116" s="64"/>
    </row>
    <row r="117" spans="2:7" ht="12.75">
      <c r="B117" s="64"/>
      <c r="C117" s="64"/>
      <c r="D117" s="64"/>
      <c r="E117" s="64"/>
      <c r="F117" s="64"/>
      <c r="G117" s="64"/>
    </row>
    <row r="118" spans="2:7" ht="12.75">
      <c r="B118" s="64"/>
      <c r="C118" s="64"/>
      <c r="D118" s="64"/>
      <c r="E118" s="64"/>
      <c r="F118" s="64"/>
      <c r="G118" s="64"/>
    </row>
    <row r="119" spans="2:7" ht="12.75">
      <c r="B119" s="64"/>
      <c r="C119" s="64"/>
      <c r="D119" s="64"/>
      <c r="E119" s="64"/>
      <c r="F119" s="64"/>
      <c r="G119" s="64"/>
    </row>
    <row r="120" spans="2:7" ht="12.75">
      <c r="B120" s="64"/>
      <c r="C120" s="64"/>
      <c r="D120" s="64"/>
      <c r="E120" s="64"/>
      <c r="F120" s="64"/>
      <c r="G120" s="64"/>
    </row>
    <row r="121" spans="2:7" ht="12.75">
      <c r="B121" s="64"/>
      <c r="C121" s="64"/>
      <c r="D121" s="64"/>
      <c r="E121" s="64"/>
      <c r="F121" s="64"/>
      <c r="G121" s="64"/>
    </row>
    <row r="122" spans="2:7" ht="12.75">
      <c r="B122" s="64"/>
      <c r="C122" s="64"/>
      <c r="D122" s="64"/>
      <c r="E122" s="64"/>
      <c r="F122" s="64"/>
      <c r="G122" s="64"/>
    </row>
    <row r="123" spans="2:7" ht="12.75">
      <c r="B123" s="64"/>
      <c r="C123" s="64"/>
      <c r="D123" s="64"/>
      <c r="E123" s="64"/>
      <c r="F123" s="64"/>
      <c r="G123" s="64"/>
    </row>
    <row r="124" spans="2:7" ht="12.75">
      <c r="B124" s="64"/>
      <c r="C124" s="64"/>
      <c r="D124" s="64"/>
      <c r="E124" s="64"/>
      <c r="F124" s="64"/>
      <c r="G124" s="64"/>
    </row>
    <row r="125" spans="2:7" ht="12.75">
      <c r="B125" s="64"/>
      <c r="C125" s="64"/>
      <c r="D125" s="64"/>
      <c r="E125" s="64"/>
      <c r="F125" s="64"/>
      <c r="G125" s="64"/>
    </row>
    <row r="126" spans="2:7" ht="12.75">
      <c r="B126" s="64"/>
      <c r="C126" s="64"/>
      <c r="D126" s="64"/>
      <c r="E126" s="64"/>
      <c r="F126" s="64"/>
      <c r="G126" s="64"/>
    </row>
    <row r="127" spans="2:7" ht="12.75">
      <c r="B127" s="64"/>
      <c r="C127" s="64"/>
      <c r="D127" s="64"/>
      <c r="E127" s="64"/>
      <c r="F127" s="64"/>
      <c r="G127" s="64"/>
    </row>
    <row r="128" spans="2:7" ht="12.75">
      <c r="B128" s="64"/>
      <c r="C128" s="64"/>
      <c r="D128" s="64"/>
      <c r="E128" s="64"/>
      <c r="F128" s="64"/>
      <c r="G128" s="64"/>
    </row>
    <row r="129" spans="2:7" ht="12.75">
      <c r="B129" s="64"/>
      <c r="C129" s="64"/>
      <c r="D129" s="64"/>
      <c r="E129" s="64"/>
      <c r="F129" s="64"/>
      <c r="G129" s="64"/>
    </row>
    <row r="130" spans="2:7" ht="12.75">
      <c r="B130" s="64"/>
      <c r="C130" s="64"/>
      <c r="D130" s="64"/>
      <c r="E130" s="64"/>
      <c r="F130" s="64"/>
      <c r="G130" s="64"/>
    </row>
    <row r="131" spans="2:7" ht="12.75">
      <c r="B131" s="64"/>
      <c r="C131" s="64"/>
      <c r="D131" s="64"/>
      <c r="E131" s="64"/>
      <c r="F131" s="64"/>
      <c r="G131" s="64"/>
    </row>
    <row r="132" spans="2:7" ht="12.75">
      <c r="B132" s="64"/>
      <c r="C132" s="64"/>
      <c r="D132" s="64"/>
      <c r="E132" s="64"/>
      <c r="F132" s="64"/>
      <c r="G132" s="64"/>
    </row>
    <row r="133" spans="2:7" ht="12.75">
      <c r="B133" s="64"/>
      <c r="C133" s="64"/>
      <c r="D133" s="64"/>
      <c r="E133" s="64"/>
      <c r="F133" s="64"/>
      <c r="G133" s="64"/>
    </row>
    <row r="134" spans="2:7" ht="12.75">
      <c r="B134" s="64"/>
      <c r="C134" s="64"/>
      <c r="D134" s="64"/>
      <c r="E134" s="64"/>
      <c r="F134" s="64"/>
      <c r="G134" s="64"/>
    </row>
    <row r="135" spans="2:7" ht="12.75">
      <c r="B135" s="64"/>
      <c r="C135" s="64"/>
      <c r="D135" s="64"/>
      <c r="E135" s="64"/>
      <c r="F135" s="64"/>
      <c r="G135" s="64"/>
    </row>
    <row r="136" spans="2:7" ht="12.75">
      <c r="B136" s="64"/>
      <c r="C136" s="64"/>
      <c r="D136" s="64"/>
      <c r="E136" s="64"/>
      <c r="F136" s="64"/>
      <c r="G136" s="64"/>
    </row>
    <row r="137" spans="2:7" ht="12.75">
      <c r="B137" s="64"/>
      <c r="C137" s="64"/>
      <c r="D137" s="64"/>
      <c r="E137" s="64"/>
      <c r="F137" s="64"/>
      <c r="G137" s="64"/>
    </row>
    <row r="138" spans="2:7" ht="12.75">
      <c r="B138" s="64"/>
      <c r="C138" s="64"/>
      <c r="D138" s="64"/>
      <c r="E138" s="64"/>
      <c r="F138" s="64"/>
      <c r="G138" s="64"/>
    </row>
    <row r="139" spans="2:7" ht="12.75">
      <c r="B139" s="64"/>
      <c r="C139" s="64"/>
      <c r="D139" s="64"/>
      <c r="E139" s="64"/>
      <c r="F139" s="64"/>
      <c r="G139" s="64"/>
    </row>
    <row r="140" spans="2:7" ht="12.75">
      <c r="B140" s="64"/>
      <c r="C140" s="64"/>
      <c r="D140" s="64"/>
      <c r="E140" s="64"/>
      <c r="F140" s="64"/>
      <c r="G140" s="64"/>
    </row>
    <row r="141" spans="2:7" ht="12.75">
      <c r="B141" s="64"/>
      <c r="C141" s="64"/>
      <c r="D141" s="64"/>
      <c r="E141" s="64"/>
      <c r="F141" s="64"/>
      <c r="G141" s="64"/>
    </row>
    <row r="142" spans="2:7" ht="12.75">
      <c r="B142" s="64"/>
      <c r="C142" s="64"/>
      <c r="D142" s="64"/>
      <c r="E142" s="64"/>
      <c r="F142" s="64"/>
      <c r="G142" s="64"/>
    </row>
    <row r="143" spans="2:7" ht="12.75">
      <c r="B143" s="64"/>
      <c r="C143" s="64"/>
      <c r="D143" s="64"/>
      <c r="E143" s="64"/>
      <c r="F143" s="64"/>
      <c r="G143" s="64"/>
    </row>
    <row r="144" spans="2:7" ht="12.75">
      <c r="B144" s="64"/>
      <c r="C144" s="64"/>
      <c r="D144" s="64"/>
      <c r="E144" s="64"/>
      <c r="F144" s="64"/>
      <c r="G144" s="64"/>
    </row>
    <row r="145" spans="2:7" ht="12.75">
      <c r="B145" s="64"/>
      <c r="C145" s="64"/>
      <c r="D145" s="64"/>
      <c r="E145" s="64"/>
      <c r="F145" s="64"/>
      <c r="G145" s="64"/>
    </row>
    <row r="146" spans="2:7" ht="12.75">
      <c r="B146" s="64"/>
      <c r="C146" s="64"/>
      <c r="D146" s="64"/>
      <c r="E146" s="64"/>
      <c r="F146" s="64"/>
      <c r="G146" s="64"/>
    </row>
    <row r="147" spans="2:7" ht="12.75">
      <c r="B147" s="64"/>
      <c r="C147" s="64"/>
      <c r="D147" s="64"/>
      <c r="E147" s="64"/>
      <c r="F147" s="64"/>
      <c r="G147" s="64"/>
    </row>
    <row r="148" spans="2:7" ht="12.75">
      <c r="B148" s="64"/>
      <c r="C148" s="64"/>
      <c r="D148" s="64"/>
      <c r="E148" s="64"/>
      <c r="F148" s="64"/>
      <c r="G148" s="64"/>
    </row>
    <row r="149" spans="2:7" ht="12.75">
      <c r="B149" s="64"/>
      <c r="C149" s="64"/>
      <c r="D149" s="64"/>
      <c r="E149" s="64"/>
      <c r="F149" s="64"/>
      <c r="G149" s="64"/>
    </row>
    <row r="150" spans="2:7" ht="12.75">
      <c r="B150" s="64"/>
      <c r="C150" s="64"/>
      <c r="D150" s="64"/>
      <c r="E150" s="64"/>
      <c r="F150" s="64"/>
      <c r="G150" s="64"/>
    </row>
    <row r="151" spans="2:7" ht="12.75">
      <c r="B151" s="64"/>
      <c r="C151" s="64"/>
      <c r="D151" s="64"/>
      <c r="E151" s="64"/>
      <c r="F151" s="64"/>
      <c r="G151" s="64"/>
    </row>
    <row r="152" spans="2:7" ht="12.75">
      <c r="B152" s="64"/>
      <c r="C152" s="64"/>
      <c r="D152" s="64"/>
      <c r="E152" s="64"/>
      <c r="F152" s="64"/>
      <c r="G152" s="64"/>
    </row>
    <row r="153" spans="2:7" ht="12.75">
      <c r="B153" s="64"/>
      <c r="C153" s="64"/>
      <c r="D153" s="64"/>
      <c r="E153" s="64"/>
      <c r="F153" s="64"/>
      <c r="G153" s="64"/>
    </row>
    <row r="154" spans="2:7" ht="12.75">
      <c r="B154" s="64"/>
      <c r="C154" s="64"/>
      <c r="D154" s="64"/>
      <c r="E154" s="64"/>
      <c r="F154" s="64"/>
      <c r="G154" s="64"/>
    </row>
    <row r="155" spans="2:7" ht="12.75">
      <c r="B155" s="64"/>
      <c r="C155" s="64"/>
      <c r="D155" s="64"/>
      <c r="E155" s="64"/>
      <c r="F155" s="64"/>
      <c r="G155" s="64"/>
    </row>
    <row r="156" spans="2:7" ht="12.75">
      <c r="B156" s="64"/>
      <c r="C156" s="64"/>
      <c r="D156" s="64"/>
      <c r="E156" s="64"/>
      <c r="F156" s="64"/>
      <c r="G156" s="64"/>
    </row>
    <row r="157" spans="2:7" ht="12.75">
      <c r="B157" s="64"/>
      <c r="C157" s="64"/>
      <c r="D157" s="64"/>
      <c r="E157" s="64"/>
      <c r="F157" s="64"/>
      <c r="G157" s="64"/>
    </row>
    <row r="158" spans="2:7" ht="12.75">
      <c r="B158" s="64"/>
      <c r="C158" s="64"/>
      <c r="D158" s="64"/>
      <c r="E158" s="64"/>
      <c r="F158" s="64"/>
      <c r="G158" s="64"/>
    </row>
    <row r="159" spans="2:7" ht="12.75">
      <c r="B159" s="64"/>
      <c r="C159" s="64"/>
      <c r="D159" s="64"/>
      <c r="E159" s="64"/>
      <c r="F159" s="64"/>
      <c r="G159" s="64"/>
    </row>
    <row r="160" spans="2:7" ht="12.75">
      <c r="B160" s="64"/>
      <c r="C160" s="64"/>
      <c r="D160" s="64"/>
      <c r="E160" s="64"/>
      <c r="F160" s="64"/>
      <c r="G160" s="64"/>
    </row>
    <row r="161" spans="2:7" ht="12.75">
      <c r="B161" s="64"/>
      <c r="C161" s="64"/>
      <c r="D161" s="64"/>
      <c r="E161" s="64"/>
      <c r="F161" s="64"/>
      <c r="G161" s="64"/>
    </row>
    <row r="162" spans="2:7" ht="12.75">
      <c r="B162" s="64"/>
      <c r="C162" s="64"/>
      <c r="D162" s="64"/>
      <c r="E162" s="64"/>
      <c r="F162" s="64"/>
      <c r="G162" s="64"/>
    </row>
    <row r="163" spans="2:7" ht="12.75">
      <c r="B163" s="64"/>
      <c r="C163" s="64"/>
      <c r="D163" s="64"/>
      <c r="E163" s="64"/>
      <c r="F163" s="64"/>
      <c r="G163" s="64"/>
    </row>
    <row r="164" spans="2:7" ht="12.75">
      <c r="B164" s="64"/>
      <c r="C164" s="64"/>
      <c r="D164" s="64"/>
      <c r="E164" s="64"/>
      <c r="F164" s="64"/>
      <c r="G164" s="64"/>
    </row>
    <row r="165" spans="2:7" ht="12.75">
      <c r="B165" s="64"/>
      <c r="C165" s="64"/>
      <c r="D165" s="64"/>
      <c r="E165" s="64"/>
      <c r="F165" s="64"/>
      <c r="G165" s="64"/>
    </row>
    <row r="166" spans="2:7" ht="12.75">
      <c r="B166" s="64"/>
      <c r="C166" s="64"/>
      <c r="D166" s="64"/>
      <c r="E166" s="64"/>
      <c r="F166" s="64"/>
      <c r="G166" s="64"/>
    </row>
    <row r="167" spans="2:7" ht="12.75">
      <c r="B167" s="64"/>
      <c r="C167" s="64"/>
      <c r="D167" s="64"/>
      <c r="E167" s="64"/>
      <c r="F167" s="64"/>
      <c r="G167" s="64"/>
    </row>
    <row r="168" spans="2:7" ht="12.75">
      <c r="B168" s="64"/>
      <c r="C168" s="64"/>
      <c r="D168" s="64"/>
      <c r="E168" s="64"/>
      <c r="F168" s="64"/>
      <c r="G168" s="64"/>
    </row>
    <row r="169" spans="2:7" ht="12.75">
      <c r="B169" s="64"/>
      <c r="C169" s="64"/>
      <c r="D169" s="64"/>
      <c r="E169" s="64"/>
      <c r="F169" s="64"/>
      <c r="G169" s="64"/>
    </row>
    <row r="170" spans="2:7" ht="12.75">
      <c r="B170" s="64"/>
      <c r="C170" s="64"/>
      <c r="D170" s="64"/>
      <c r="E170" s="64"/>
      <c r="F170" s="64"/>
      <c r="G170" s="64"/>
    </row>
    <row r="171" spans="2:7" ht="12.75">
      <c r="B171" s="64"/>
      <c r="C171" s="64"/>
      <c r="D171" s="64"/>
      <c r="E171" s="64"/>
      <c r="F171" s="64"/>
      <c r="G171" s="64"/>
    </row>
    <row r="172" spans="2:7" ht="12.75">
      <c r="B172" s="64"/>
      <c r="C172" s="64"/>
      <c r="D172" s="64"/>
      <c r="E172" s="64"/>
      <c r="F172" s="64"/>
      <c r="G172" s="64"/>
    </row>
    <row r="173" spans="2:7" ht="12.75">
      <c r="B173" s="64"/>
      <c r="C173" s="64"/>
      <c r="D173" s="64"/>
      <c r="E173" s="64"/>
      <c r="F173" s="64"/>
      <c r="G173" s="64"/>
    </row>
    <row r="174" spans="2:7" ht="12.75">
      <c r="B174" s="64"/>
      <c r="C174" s="64"/>
      <c r="D174" s="64"/>
      <c r="E174" s="64"/>
      <c r="F174" s="64"/>
      <c r="G174" s="64"/>
    </row>
    <row r="175" spans="2:7" ht="12.75">
      <c r="B175" s="64"/>
      <c r="C175" s="64"/>
      <c r="D175" s="64"/>
      <c r="E175" s="64"/>
      <c r="F175" s="64"/>
      <c r="G175" s="64"/>
    </row>
    <row r="176" spans="2:7" ht="12.75">
      <c r="B176" s="64"/>
      <c r="C176" s="64"/>
      <c r="D176" s="64"/>
      <c r="E176" s="64"/>
      <c r="F176" s="64"/>
      <c r="G176" s="64"/>
    </row>
    <row r="177" spans="2:7" ht="12.75">
      <c r="B177" s="64"/>
      <c r="C177" s="64"/>
      <c r="D177" s="64"/>
      <c r="E177" s="64"/>
      <c r="F177" s="64"/>
      <c r="G177" s="64"/>
    </row>
    <row r="178" spans="2:7" ht="12.75">
      <c r="B178" s="64"/>
      <c r="C178" s="64"/>
      <c r="D178" s="64"/>
      <c r="E178" s="64"/>
      <c r="F178" s="64"/>
      <c r="G178" s="64"/>
    </row>
    <row r="179" spans="2:7" ht="12.75">
      <c r="B179" s="64"/>
      <c r="C179" s="64"/>
      <c r="D179" s="64"/>
      <c r="E179" s="64"/>
      <c r="F179" s="64"/>
      <c r="G179" s="64"/>
    </row>
    <row r="180" spans="2:7" ht="12.75">
      <c r="B180" s="64"/>
      <c r="C180" s="64"/>
      <c r="D180" s="64"/>
      <c r="E180" s="64"/>
      <c r="F180" s="64"/>
      <c r="G180" s="64"/>
    </row>
    <row r="181" spans="2:7" ht="12.75">
      <c r="B181" s="64"/>
      <c r="C181" s="64"/>
      <c r="D181" s="64"/>
      <c r="E181" s="64"/>
      <c r="F181" s="64"/>
      <c r="G181" s="64"/>
    </row>
    <row r="182" spans="2:7" ht="12.75">
      <c r="B182" s="64"/>
      <c r="C182" s="64"/>
      <c r="D182" s="64"/>
      <c r="E182" s="64"/>
      <c r="F182" s="64"/>
      <c r="G182" s="64"/>
    </row>
    <row r="183" spans="2:7" ht="12.75">
      <c r="B183" s="64"/>
      <c r="C183" s="64"/>
      <c r="D183" s="64"/>
      <c r="E183" s="64"/>
      <c r="F183" s="64"/>
      <c r="G183" s="64"/>
    </row>
    <row r="184" spans="2:7" ht="12.75">
      <c r="B184" s="64"/>
      <c r="C184" s="64"/>
      <c r="D184" s="64"/>
      <c r="E184" s="64"/>
      <c r="F184" s="64"/>
      <c r="G184" s="64"/>
    </row>
    <row r="185" spans="2:7" ht="12.75">
      <c r="B185" s="64"/>
      <c r="C185" s="64"/>
      <c r="D185" s="64"/>
      <c r="E185" s="64"/>
      <c r="F185" s="64"/>
      <c r="G185" s="64"/>
    </row>
    <row r="186" spans="2:7" ht="12.75">
      <c r="B186" s="64"/>
      <c r="C186" s="64"/>
      <c r="D186" s="64"/>
      <c r="E186" s="64"/>
      <c r="F186" s="64"/>
      <c r="G186" s="64"/>
    </row>
    <row r="187" spans="2:7" ht="12.75">
      <c r="B187" s="64"/>
      <c r="C187" s="64"/>
      <c r="D187" s="64"/>
      <c r="E187" s="64"/>
      <c r="F187" s="64"/>
      <c r="G187" s="64"/>
    </row>
    <row r="188" spans="2:7" ht="12.75">
      <c r="B188" s="64"/>
      <c r="C188" s="64"/>
      <c r="D188" s="64"/>
      <c r="E188" s="64"/>
      <c r="F188" s="64"/>
      <c r="G188" s="64"/>
    </row>
    <row r="189" spans="2:7" ht="12.75">
      <c r="B189" s="64"/>
      <c r="C189" s="64"/>
      <c r="D189" s="64"/>
      <c r="E189" s="64"/>
      <c r="F189" s="64"/>
      <c r="G189" s="64"/>
    </row>
    <row r="190" spans="2:7" ht="12.75">
      <c r="B190" s="64"/>
      <c r="C190" s="64"/>
      <c r="D190" s="64"/>
      <c r="E190" s="64"/>
      <c r="F190" s="64"/>
      <c r="G190" s="64"/>
    </row>
    <row r="191" spans="2:7" ht="12.75">
      <c r="B191" s="64"/>
      <c r="C191" s="64"/>
      <c r="D191" s="64"/>
      <c r="E191" s="64"/>
      <c r="F191" s="64"/>
      <c r="G191" s="64"/>
    </row>
    <row r="192" spans="2:7" ht="12.75">
      <c r="B192" s="64"/>
      <c r="C192" s="64"/>
      <c r="D192" s="64"/>
      <c r="E192" s="64"/>
      <c r="F192" s="64"/>
      <c r="G192" s="64"/>
    </row>
    <row r="193" spans="2:7" ht="12.75">
      <c r="B193" s="64"/>
      <c r="C193" s="64"/>
      <c r="D193" s="64"/>
      <c r="E193" s="64"/>
      <c r="F193" s="64"/>
      <c r="G193" s="64"/>
    </row>
    <row r="194" spans="2:7" ht="12.75">
      <c r="B194" s="64"/>
      <c r="C194" s="64"/>
      <c r="D194" s="64"/>
      <c r="E194" s="64"/>
      <c r="F194" s="64"/>
      <c r="G194" s="64"/>
    </row>
    <row r="195" spans="2:7" ht="12.75">
      <c r="B195" s="64"/>
      <c r="C195" s="64"/>
      <c r="D195" s="64"/>
      <c r="E195" s="64"/>
      <c r="F195" s="64"/>
      <c r="G195" s="64"/>
    </row>
    <row r="196" spans="2:7" ht="12.75">
      <c r="B196" s="64"/>
      <c r="C196" s="64"/>
      <c r="D196" s="64"/>
      <c r="E196" s="64"/>
      <c r="F196" s="64"/>
      <c r="G196" s="64"/>
    </row>
    <row r="197" spans="2:7" ht="12.75">
      <c r="B197" s="64"/>
      <c r="C197" s="64"/>
      <c r="D197" s="64"/>
      <c r="E197" s="64"/>
      <c r="F197" s="64"/>
      <c r="G197" s="64"/>
    </row>
    <row r="198" spans="2:7" ht="12.75">
      <c r="B198" s="64"/>
      <c r="C198" s="64"/>
      <c r="D198" s="64"/>
      <c r="E198" s="64"/>
      <c r="F198" s="64"/>
      <c r="G198" s="64"/>
    </row>
    <row r="199" spans="2:7" ht="12.75">
      <c r="B199" s="64"/>
      <c r="C199" s="64"/>
      <c r="D199" s="64"/>
      <c r="E199" s="64"/>
      <c r="F199" s="64"/>
      <c r="G199" s="64"/>
    </row>
    <row r="200" spans="2:7" ht="12.75">
      <c r="B200" s="64"/>
      <c r="C200" s="64"/>
      <c r="D200" s="64"/>
      <c r="E200" s="64"/>
      <c r="F200" s="64"/>
      <c r="G200" s="64"/>
    </row>
    <row r="201" spans="2:7" ht="12.75">
      <c r="B201" s="64"/>
      <c r="C201" s="64"/>
      <c r="D201" s="64"/>
      <c r="E201" s="64"/>
      <c r="F201" s="64"/>
      <c r="G201" s="64"/>
    </row>
    <row r="202" spans="2:7" ht="12.75">
      <c r="B202" s="64"/>
      <c r="C202" s="64"/>
      <c r="D202" s="64"/>
      <c r="E202" s="64"/>
      <c r="F202" s="64"/>
      <c r="G202" s="64"/>
    </row>
    <row r="203" spans="2:7" ht="12.75">
      <c r="B203" s="64"/>
      <c r="C203" s="64"/>
      <c r="D203" s="64"/>
      <c r="E203" s="64"/>
      <c r="F203" s="64"/>
      <c r="G203" s="64"/>
    </row>
    <row r="204" spans="2:7" ht="12.75">
      <c r="B204" s="64"/>
      <c r="C204" s="64"/>
      <c r="D204" s="64"/>
      <c r="E204" s="64"/>
      <c r="F204" s="64"/>
      <c r="G204" s="64"/>
    </row>
    <row r="205" spans="2:7" ht="12.75">
      <c r="B205" s="64"/>
      <c r="C205" s="64"/>
      <c r="D205" s="64"/>
      <c r="E205" s="64"/>
      <c r="F205" s="64"/>
      <c r="G205" s="64"/>
    </row>
    <row r="206" spans="2:7" ht="12.75">
      <c r="B206" s="64"/>
      <c r="C206" s="64"/>
      <c r="D206" s="64"/>
      <c r="E206" s="64"/>
      <c r="F206" s="64"/>
      <c r="G206" s="64"/>
    </row>
    <row r="207" spans="2:7" ht="12.75">
      <c r="B207" s="64"/>
      <c r="C207" s="64"/>
      <c r="D207" s="64"/>
      <c r="E207" s="64"/>
      <c r="F207" s="64"/>
      <c r="G207" s="64"/>
    </row>
    <row r="208" spans="2:7" ht="12.75">
      <c r="B208" s="64"/>
      <c r="C208" s="64"/>
      <c r="D208" s="64"/>
      <c r="E208" s="64"/>
      <c r="F208" s="64"/>
      <c r="G208" s="64"/>
    </row>
    <row r="209" spans="2:7" ht="12.75">
      <c r="B209" s="64"/>
      <c r="C209" s="64"/>
      <c r="D209" s="64"/>
      <c r="E209" s="64"/>
      <c r="F209" s="64"/>
      <c r="G209" s="64"/>
    </row>
    <row r="210" spans="2:7" ht="12.75">
      <c r="B210" s="64"/>
      <c r="C210" s="64"/>
      <c r="D210" s="64"/>
      <c r="E210" s="64"/>
      <c r="F210" s="64"/>
      <c r="G210" s="64"/>
    </row>
    <row r="211" spans="2:7" ht="12.75">
      <c r="B211" s="64"/>
      <c r="C211" s="64"/>
      <c r="D211" s="64"/>
      <c r="E211" s="64"/>
      <c r="F211" s="64"/>
      <c r="G211" s="64"/>
    </row>
    <row r="212" spans="2:7" ht="12.75">
      <c r="B212" s="64"/>
      <c r="C212" s="64"/>
      <c r="D212" s="64"/>
      <c r="E212" s="64"/>
      <c r="F212" s="64"/>
      <c r="G212" s="64"/>
    </row>
    <row r="213" spans="2:7" ht="12.75">
      <c r="B213" s="64"/>
      <c r="C213" s="64"/>
      <c r="D213" s="64"/>
      <c r="E213" s="64"/>
      <c r="F213" s="64"/>
      <c r="G213" s="64"/>
    </row>
    <row r="214" spans="2:7" ht="12.75">
      <c r="B214" s="64"/>
      <c r="C214" s="64"/>
      <c r="D214" s="64"/>
      <c r="E214" s="64"/>
      <c r="F214" s="64"/>
      <c r="G214" s="64"/>
    </row>
    <row r="215" spans="2:7" ht="12.75">
      <c r="B215" s="64"/>
      <c r="C215" s="64"/>
      <c r="D215" s="64"/>
      <c r="E215" s="64"/>
      <c r="F215" s="64"/>
      <c r="G215" s="64"/>
    </row>
    <row r="216" spans="2:7" ht="12.75">
      <c r="B216" s="64"/>
      <c r="C216" s="64"/>
      <c r="D216" s="64"/>
      <c r="E216" s="64"/>
      <c r="F216" s="64"/>
      <c r="G216" s="64"/>
    </row>
    <row r="217" spans="2:7" ht="12.75">
      <c r="B217" s="64"/>
      <c r="C217" s="64"/>
      <c r="D217" s="64"/>
      <c r="E217" s="64"/>
      <c r="F217" s="64"/>
      <c r="G217" s="64"/>
    </row>
    <row r="218" spans="2:7" ht="12.75">
      <c r="B218" s="64"/>
      <c r="C218" s="64"/>
      <c r="D218" s="64"/>
      <c r="E218" s="64"/>
      <c r="F218" s="64"/>
      <c r="G218" s="64"/>
    </row>
    <row r="219" spans="2:7" ht="12.75">
      <c r="B219" s="64"/>
      <c r="C219" s="64"/>
      <c r="D219" s="64"/>
      <c r="E219" s="64"/>
      <c r="F219" s="64"/>
      <c r="G219" s="64"/>
    </row>
    <row r="220" spans="2:7" ht="12.75">
      <c r="B220" s="64"/>
      <c r="C220" s="64"/>
      <c r="D220" s="64"/>
      <c r="E220" s="64"/>
      <c r="F220" s="64"/>
      <c r="G220" s="64"/>
    </row>
    <row r="221" spans="2:7" ht="12.75">
      <c r="B221" s="64"/>
      <c r="C221" s="64"/>
      <c r="D221" s="64"/>
      <c r="E221" s="64"/>
      <c r="F221" s="64"/>
      <c r="G221" s="64"/>
    </row>
    <row r="222" spans="2:7" ht="12.75">
      <c r="B222" s="64"/>
      <c r="C222" s="64"/>
      <c r="D222" s="64"/>
      <c r="E222" s="64"/>
      <c r="F222" s="64"/>
      <c r="G222" s="64"/>
    </row>
    <row r="223" spans="2:7" ht="12.75">
      <c r="B223" s="64"/>
      <c r="C223" s="64"/>
      <c r="D223" s="64"/>
      <c r="E223" s="64"/>
      <c r="F223" s="64"/>
      <c r="G223" s="64"/>
    </row>
    <row r="224" spans="2:7" ht="12.75">
      <c r="B224" s="64"/>
      <c r="C224" s="64"/>
      <c r="D224" s="64"/>
      <c r="E224" s="64"/>
      <c r="F224" s="64"/>
      <c r="G224" s="64"/>
    </row>
    <row r="225" spans="2:7" ht="12.75">
      <c r="B225" s="64"/>
      <c r="C225" s="64"/>
      <c r="D225" s="64"/>
      <c r="E225" s="64"/>
      <c r="F225" s="64"/>
      <c r="G225" s="64"/>
    </row>
    <row r="226" spans="2:7" ht="12.75">
      <c r="B226" s="64"/>
      <c r="C226" s="64"/>
      <c r="D226" s="64"/>
      <c r="E226" s="64"/>
      <c r="F226" s="64"/>
      <c r="G226" s="64"/>
    </row>
    <row r="227" spans="2:7" ht="12.75">
      <c r="B227" s="64"/>
      <c r="C227" s="64"/>
      <c r="D227" s="64"/>
      <c r="E227" s="64"/>
      <c r="F227" s="64"/>
      <c r="G227" s="64"/>
    </row>
    <row r="228" spans="2:7" ht="12.75">
      <c r="B228" s="64"/>
      <c r="C228" s="64"/>
      <c r="D228" s="64"/>
      <c r="E228" s="64"/>
      <c r="F228" s="64"/>
      <c r="G228" s="64"/>
    </row>
    <row r="229" spans="2:7" ht="12.75">
      <c r="B229" s="64"/>
      <c r="C229" s="64"/>
      <c r="D229" s="64"/>
      <c r="E229" s="64"/>
      <c r="F229" s="64"/>
      <c r="G229" s="64"/>
    </row>
    <row r="230" spans="2:7" ht="12.75">
      <c r="B230" s="64"/>
      <c r="C230" s="64"/>
      <c r="D230" s="64"/>
      <c r="E230" s="64"/>
      <c r="F230" s="64"/>
      <c r="G230" s="64"/>
    </row>
    <row r="231" spans="2:7" ht="12.75">
      <c r="B231" s="64"/>
      <c r="C231" s="64"/>
      <c r="D231" s="64"/>
      <c r="E231" s="64"/>
      <c r="F231" s="64"/>
      <c r="G231" s="64"/>
    </row>
    <row r="232" spans="2:7" ht="12.75">
      <c r="B232" s="64"/>
      <c r="C232" s="64"/>
      <c r="D232" s="64"/>
      <c r="E232" s="64"/>
      <c r="F232" s="64"/>
      <c r="G232" s="64"/>
    </row>
    <row r="233" spans="2:7" ht="12.75">
      <c r="B233" s="64"/>
      <c r="C233" s="64"/>
      <c r="D233" s="64"/>
      <c r="E233" s="64"/>
      <c r="F233" s="64"/>
      <c r="G233" s="64"/>
    </row>
    <row r="234" spans="2:7" ht="12.75">
      <c r="B234" s="64"/>
      <c r="C234" s="64"/>
      <c r="D234" s="64"/>
      <c r="E234" s="64"/>
      <c r="F234" s="64"/>
      <c r="G234" s="64"/>
    </row>
    <row r="235" spans="2:7" ht="12.75">
      <c r="B235" s="64"/>
      <c r="C235" s="64"/>
      <c r="D235" s="64"/>
      <c r="E235" s="64"/>
      <c r="F235" s="64"/>
      <c r="G235" s="64"/>
    </row>
    <row r="236" spans="2:7" ht="12.75">
      <c r="B236" s="64"/>
      <c r="C236" s="64"/>
      <c r="D236" s="64"/>
      <c r="E236" s="64"/>
      <c r="F236" s="64"/>
      <c r="G236" s="64"/>
    </row>
    <row r="237" spans="2:7" ht="12.75">
      <c r="B237" s="64"/>
      <c r="C237" s="64"/>
      <c r="D237" s="64"/>
      <c r="E237" s="64"/>
      <c r="F237" s="64"/>
      <c r="G237" s="64"/>
    </row>
    <row r="238" spans="2:7" ht="12.75">
      <c r="B238" s="64"/>
      <c r="C238" s="64"/>
      <c r="D238" s="64"/>
      <c r="E238" s="64"/>
      <c r="F238" s="64"/>
      <c r="G238" s="64"/>
    </row>
    <row r="239" spans="2:7" ht="12.75">
      <c r="B239" s="64"/>
      <c r="C239" s="64"/>
      <c r="D239" s="64"/>
      <c r="E239" s="64"/>
      <c r="F239" s="64"/>
      <c r="G239" s="64"/>
    </row>
    <row r="240" spans="2:7" ht="12.75">
      <c r="B240" s="64"/>
      <c r="C240" s="64"/>
      <c r="D240" s="64"/>
      <c r="E240" s="64"/>
      <c r="F240" s="64"/>
      <c r="G240" s="64"/>
    </row>
    <row r="241" spans="2:7" ht="12.75">
      <c r="B241" s="64"/>
      <c r="C241" s="64"/>
      <c r="D241" s="64"/>
      <c r="E241" s="64"/>
      <c r="F241" s="64"/>
      <c r="G241" s="64"/>
    </row>
    <row r="242" spans="2:7" ht="12.75">
      <c r="B242" s="64"/>
      <c r="C242" s="64"/>
      <c r="D242" s="64"/>
      <c r="E242" s="64"/>
      <c r="F242" s="64"/>
      <c r="G242" s="64"/>
    </row>
    <row r="243" spans="2:7" ht="12.75">
      <c r="B243" s="64"/>
      <c r="C243" s="64"/>
      <c r="D243" s="64"/>
      <c r="E243" s="64"/>
      <c r="F243" s="64"/>
      <c r="G243" s="64"/>
    </row>
    <row r="244" spans="2:7" ht="12.75">
      <c r="B244" s="64"/>
      <c r="C244" s="64"/>
      <c r="D244" s="64"/>
      <c r="E244" s="64"/>
      <c r="F244" s="64"/>
      <c r="G244" s="64"/>
    </row>
    <row r="245" spans="2:7" ht="12.75">
      <c r="B245" s="64"/>
      <c r="C245" s="64"/>
      <c r="D245" s="64"/>
      <c r="E245" s="64"/>
      <c r="F245" s="64"/>
      <c r="G245" s="64"/>
    </row>
    <row r="246" spans="2:7" ht="12.75">
      <c r="B246" s="64"/>
      <c r="C246" s="64"/>
      <c r="D246" s="64"/>
      <c r="E246" s="64"/>
      <c r="F246" s="64"/>
      <c r="G246" s="64"/>
    </row>
    <row r="247" spans="2:7" ht="12.75">
      <c r="B247" s="64"/>
      <c r="C247" s="64"/>
      <c r="D247" s="64"/>
      <c r="E247" s="64"/>
      <c r="F247" s="64"/>
      <c r="G247" s="64"/>
    </row>
    <row r="248" spans="2:7" ht="12.75">
      <c r="B248" s="64"/>
      <c r="C248" s="64"/>
      <c r="D248" s="64"/>
      <c r="E248" s="64"/>
      <c r="F248" s="64"/>
      <c r="G248" s="64"/>
    </row>
    <row r="249" spans="2:7" ht="12.75">
      <c r="B249" s="64"/>
      <c r="C249" s="64"/>
      <c r="D249" s="64"/>
      <c r="E249" s="64"/>
      <c r="F249" s="64"/>
      <c r="G249" s="64"/>
    </row>
    <row r="250" spans="2:7" ht="12.75">
      <c r="B250" s="64"/>
      <c r="C250" s="64"/>
      <c r="D250" s="64"/>
      <c r="E250" s="64"/>
      <c r="F250" s="64"/>
      <c r="G250" s="64"/>
    </row>
    <row r="251" spans="2:7" ht="12.75">
      <c r="B251" s="64"/>
      <c r="C251" s="64"/>
      <c r="D251" s="64"/>
      <c r="E251" s="64"/>
      <c r="F251" s="64"/>
      <c r="G251" s="64"/>
    </row>
    <row r="252" spans="2:7" ht="12.75">
      <c r="B252" s="64"/>
      <c r="C252" s="64"/>
      <c r="D252" s="64"/>
      <c r="E252" s="64"/>
      <c r="F252" s="64"/>
      <c r="G252" s="64"/>
    </row>
    <row r="253" spans="2:7" ht="12.75">
      <c r="B253" s="64"/>
      <c r="C253" s="64"/>
      <c r="D253" s="64"/>
      <c r="E253" s="64"/>
      <c r="F253" s="64"/>
      <c r="G253" s="64"/>
    </row>
    <row r="254" spans="2:7" ht="12.75">
      <c r="B254" s="64"/>
      <c r="C254" s="64"/>
      <c r="D254" s="64"/>
      <c r="E254" s="64"/>
      <c r="F254" s="64"/>
      <c r="G254" s="64"/>
    </row>
    <row r="255" spans="2:7" ht="12.75">
      <c r="B255" s="64"/>
      <c r="C255" s="64"/>
      <c r="D255" s="64"/>
      <c r="E255" s="64"/>
      <c r="F255" s="64"/>
      <c r="G255" s="64"/>
    </row>
    <row r="256" spans="2:7" ht="12.75">
      <c r="B256" s="64"/>
      <c r="C256" s="64"/>
      <c r="D256" s="64"/>
      <c r="E256" s="64"/>
      <c r="F256" s="64"/>
      <c r="G256" s="64"/>
    </row>
    <row r="257" spans="2:7" ht="12.75">
      <c r="B257" s="64"/>
      <c r="C257" s="64"/>
      <c r="D257" s="64"/>
      <c r="E257" s="64"/>
      <c r="F257" s="64"/>
      <c r="G257" s="64"/>
    </row>
    <row r="258" spans="2:7" ht="12.75">
      <c r="B258" s="64"/>
      <c r="C258" s="64"/>
      <c r="D258" s="64"/>
      <c r="E258" s="64"/>
      <c r="F258" s="64"/>
      <c r="G258" s="64"/>
    </row>
    <row r="259" spans="2:7" ht="12.75">
      <c r="B259" s="64"/>
      <c r="C259" s="64"/>
      <c r="D259" s="64"/>
      <c r="E259" s="64"/>
      <c r="F259" s="64"/>
      <c r="G259" s="64"/>
    </row>
    <row r="260" spans="2:7" ht="12.75">
      <c r="B260" s="64"/>
      <c r="C260" s="64"/>
      <c r="D260" s="64"/>
      <c r="E260" s="64"/>
      <c r="F260" s="64"/>
      <c r="G260" s="64"/>
    </row>
    <row r="261" spans="2:7" ht="12.75">
      <c r="B261" s="64"/>
      <c r="C261" s="64"/>
      <c r="D261" s="64"/>
      <c r="E261" s="64"/>
      <c r="F261" s="64"/>
      <c r="G261" s="64"/>
    </row>
    <row r="262" spans="2:7" ht="12.75">
      <c r="B262" s="64"/>
      <c r="C262" s="64"/>
      <c r="D262" s="64"/>
      <c r="E262" s="64"/>
      <c r="F262" s="64"/>
      <c r="G262" s="64"/>
    </row>
    <row r="263" spans="2:7" ht="12.75">
      <c r="B263" s="64"/>
      <c r="C263" s="64"/>
      <c r="D263" s="64"/>
      <c r="E263" s="64"/>
      <c r="F263" s="64"/>
      <c r="G263" s="64"/>
    </row>
    <row r="264" spans="2:7" ht="12.75">
      <c r="B264" s="64"/>
      <c r="C264" s="64"/>
      <c r="D264" s="64"/>
      <c r="E264" s="64"/>
      <c r="F264" s="64"/>
      <c r="G264" s="64"/>
    </row>
    <row r="265" spans="2:7" ht="12.75">
      <c r="B265" s="64"/>
      <c r="C265" s="64"/>
      <c r="D265" s="64"/>
      <c r="E265" s="64"/>
      <c r="F265" s="64"/>
      <c r="G265" s="64"/>
    </row>
    <row r="266" spans="2:7" ht="12.75">
      <c r="B266" s="64"/>
      <c r="C266" s="64"/>
      <c r="D266" s="64"/>
      <c r="E266" s="64"/>
      <c r="F266" s="64"/>
      <c r="G266" s="64"/>
    </row>
    <row r="267" spans="2:7" ht="12.75">
      <c r="B267" s="64"/>
      <c r="C267" s="64"/>
      <c r="D267" s="64"/>
      <c r="E267" s="64"/>
      <c r="F267" s="64"/>
      <c r="G267" s="64"/>
    </row>
    <row r="268" spans="2:7" ht="12.75">
      <c r="B268" s="64"/>
      <c r="C268" s="64"/>
      <c r="D268" s="64"/>
      <c r="E268" s="64"/>
      <c r="F268" s="64"/>
      <c r="G268" s="64"/>
    </row>
    <row r="269" spans="2:7" ht="12.75">
      <c r="B269" s="64"/>
      <c r="C269" s="64"/>
      <c r="D269" s="64"/>
      <c r="E269" s="64"/>
      <c r="F269" s="64"/>
      <c r="G269" s="64"/>
    </row>
    <row r="270" spans="2:7" ht="12.75">
      <c r="B270" s="64"/>
      <c r="C270" s="64"/>
      <c r="D270" s="64"/>
      <c r="E270" s="64"/>
      <c r="F270" s="64"/>
      <c r="G270" s="64"/>
    </row>
    <row r="271" spans="2:7" ht="12.75">
      <c r="B271" s="64"/>
      <c r="C271" s="64"/>
      <c r="D271" s="64"/>
      <c r="E271" s="64"/>
      <c r="F271" s="64"/>
      <c r="G271" s="64"/>
    </row>
    <row r="272" spans="2:7" ht="12.75">
      <c r="B272" s="64"/>
      <c r="C272" s="64"/>
      <c r="D272" s="64"/>
      <c r="E272" s="64"/>
      <c r="F272" s="64"/>
      <c r="G272" s="64"/>
    </row>
    <row r="273" spans="2:7" ht="12.75">
      <c r="B273" s="64"/>
      <c r="C273" s="64"/>
      <c r="D273" s="64"/>
      <c r="E273" s="64"/>
      <c r="F273" s="64"/>
      <c r="G273" s="64"/>
    </row>
    <row r="274" spans="2:7" ht="12.75">
      <c r="B274" s="64"/>
      <c r="C274" s="64"/>
      <c r="D274" s="64"/>
      <c r="E274" s="64"/>
      <c r="F274" s="64"/>
      <c r="G274" s="64"/>
    </row>
    <row r="275" spans="2:7" ht="12.75">
      <c r="B275" s="64"/>
      <c r="C275" s="64"/>
      <c r="D275" s="64"/>
      <c r="E275" s="64"/>
      <c r="F275" s="64"/>
      <c r="G275" s="64"/>
    </row>
    <row r="276" spans="2:7" ht="12.75">
      <c r="B276" s="64"/>
      <c r="C276" s="64"/>
      <c r="D276" s="64"/>
      <c r="E276" s="64"/>
      <c r="F276" s="64"/>
      <c r="G276" s="64"/>
    </row>
    <row r="277" spans="2:7" ht="12.75">
      <c r="B277" s="64"/>
      <c r="C277" s="64"/>
      <c r="D277" s="64"/>
      <c r="E277" s="64"/>
      <c r="F277" s="64"/>
      <c r="G277" s="64"/>
    </row>
    <row r="278" spans="2:7" ht="12.75">
      <c r="B278" s="64"/>
      <c r="C278" s="64"/>
      <c r="D278" s="64"/>
      <c r="E278" s="64"/>
      <c r="F278" s="64"/>
      <c r="G278" s="64"/>
    </row>
    <row r="279" spans="2:7" ht="12.75">
      <c r="B279" s="64"/>
      <c r="C279" s="64"/>
      <c r="D279" s="64"/>
      <c r="E279" s="64"/>
      <c r="F279" s="64"/>
      <c r="G279" s="64"/>
    </row>
    <row r="280" spans="2:7" ht="12.75">
      <c r="B280" s="64"/>
      <c r="C280" s="64"/>
      <c r="D280" s="64"/>
      <c r="E280" s="64"/>
      <c r="F280" s="64"/>
      <c r="G280" s="64"/>
    </row>
    <row r="281" spans="2:7" ht="12.75">
      <c r="B281" s="64"/>
      <c r="C281" s="64"/>
      <c r="D281" s="64"/>
      <c r="E281" s="64"/>
      <c r="F281" s="64"/>
      <c r="G281" s="64"/>
    </row>
    <row r="282" spans="2:7" ht="12.75">
      <c r="B282" s="64"/>
      <c r="C282" s="64"/>
      <c r="D282" s="64"/>
      <c r="E282" s="64"/>
      <c r="F282" s="64"/>
      <c r="G282" s="64"/>
    </row>
    <row r="283" spans="2:7" ht="12.75">
      <c r="B283" s="64"/>
      <c r="C283" s="64"/>
      <c r="D283" s="64"/>
      <c r="E283" s="64"/>
      <c r="F283" s="64"/>
      <c r="G283" s="64"/>
    </row>
    <row r="284" spans="2:7" ht="12.75">
      <c r="B284" s="64"/>
      <c r="C284" s="64"/>
      <c r="D284" s="64"/>
      <c r="E284" s="64"/>
      <c r="F284" s="64"/>
      <c r="G284" s="64"/>
    </row>
    <row r="285" spans="2:7" ht="12.75">
      <c r="B285" s="64"/>
      <c r="C285" s="64"/>
      <c r="D285" s="64"/>
      <c r="E285" s="64"/>
      <c r="F285" s="64"/>
      <c r="G285" s="64"/>
    </row>
    <row r="286" spans="2:7" ht="12.75">
      <c r="B286" s="64"/>
      <c r="C286" s="64"/>
      <c r="D286" s="64"/>
      <c r="E286" s="64"/>
      <c r="F286" s="64"/>
      <c r="G286" s="64"/>
    </row>
    <row r="287" spans="2:7" ht="12.75">
      <c r="B287" s="64"/>
      <c r="C287" s="64"/>
      <c r="D287" s="64"/>
      <c r="E287" s="64"/>
      <c r="F287" s="64"/>
      <c r="G287" s="64"/>
    </row>
    <row r="288" spans="2:7" ht="12.75">
      <c r="B288" s="64"/>
      <c r="C288" s="64"/>
      <c r="D288" s="64"/>
      <c r="E288" s="64"/>
      <c r="F288" s="64"/>
      <c r="G288" s="64"/>
    </row>
    <row r="289" spans="2:7" ht="12.75">
      <c r="B289" s="64"/>
      <c r="C289" s="64"/>
      <c r="D289" s="64"/>
      <c r="E289" s="64"/>
      <c r="F289" s="64"/>
      <c r="G289" s="64"/>
    </row>
    <row r="290" spans="2:7" ht="12.75">
      <c r="B290" s="64"/>
      <c r="C290" s="64"/>
      <c r="D290" s="64"/>
      <c r="E290" s="64"/>
      <c r="F290" s="64"/>
      <c r="G290" s="64"/>
    </row>
    <row r="291" spans="2:7" ht="12.75">
      <c r="B291" s="64"/>
      <c r="C291" s="64"/>
      <c r="D291" s="64"/>
      <c r="E291" s="64"/>
      <c r="F291" s="64"/>
      <c r="G291" s="64"/>
    </row>
    <row r="292" spans="2:7" ht="12.75">
      <c r="B292" s="64"/>
      <c r="C292" s="64"/>
      <c r="D292" s="64"/>
      <c r="E292" s="64"/>
      <c r="F292" s="64"/>
      <c r="G292" s="64"/>
    </row>
    <row r="293" spans="2:7" ht="12.75">
      <c r="B293" s="64"/>
      <c r="C293" s="64"/>
      <c r="D293" s="64"/>
      <c r="E293" s="64"/>
      <c r="F293" s="64"/>
      <c r="G293" s="64"/>
    </row>
    <row r="294" spans="2:7" ht="12.75">
      <c r="B294" s="64"/>
      <c r="C294" s="64"/>
      <c r="D294" s="64"/>
      <c r="E294" s="64"/>
      <c r="F294" s="64"/>
      <c r="G294" s="64"/>
    </row>
    <row r="295" spans="2:7" ht="12.75">
      <c r="B295" s="64"/>
      <c r="C295" s="64"/>
      <c r="D295" s="64"/>
      <c r="E295" s="64"/>
      <c r="F295" s="64"/>
      <c r="G295" s="64"/>
    </row>
    <row r="296" spans="2:7" ht="12.75">
      <c r="B296" s="64"/>
      <c r="C296" s="64"/>
      <c r="D296" s="64"/>
      <c r="E296" s="64"/>
      <c r="F296" s="64"/>
      <c r="G296" s="64"/>
    </row>
    <row r="297" spans="2:7" ht="12.75">
      <c r="B297" s="64"/>
      <c r="C297" s="64"/>
      <c r="D297" s="64"/>
      <c r="E297" s="64"/>
      <c r="F297" s="64"/>
      <c r="G297" s="64"/>
    </row>
    <row r="298" spans="2:7" ht="12.75">
      <c r="B298" s="64"/>
      <c r="C298" s="64"/>
      <c r="D298" s="64"/>
      <c r="E298" s="64"/>
      <c r="F298" s="64"/>
      <c r="G298" s="64"/>
    </row>
    <row r="299" spans="2:7" ht="12.75">
      <c r="B299" s="64"/>
      <c r="C299" s="64"/>
      <c r="D299" s="64"/>
      <c r="E299" s="64"/>
      <c r="F299" s="64"/>
      <c r="G299" s="64"/>
    </row>
    <row r="300" spans="2:7" ht="12.75">
      <c r="B300" s="64"/>
      <c r="C300" s="64"/>
      <c r="D300" s="64"/>
      <c r="E300" s="64"/>
      <c r="F300" s="64"/>
      <c r="G300" s="64"/>
    </row>
    <row r="301" spans="2:7" ht="12.75">
      <c r="B301" s="64"/>
      <c r="C301" s="64"/>
      <c r="D301" s="64"/>
      <c r="E301" s="64"/>
      <c r="F301" s="64"/>
      <c r="G301" s="64"/>
    </row>
    <row r="302" spans="2:7" ht="12.75">
      <c r="B302" s="64"/>
      <c r="C302" s="64"/>
      <c r="D302" s="64"/>
      <c r="E302" s="64"/>
      <c r="F302" s="64"/>
      <c r="G302" s="64"/>
    </row>
    <row r="303" spans="2:7" ht="12.75">
      <c r="B303" s="64"/>
      <c r="C303" s="64"/>
      <c r="D303" s="64"/>
      <c r="E303" s="64"/>
      <c r="F303" s="64"/>
      <c r="G303" s="64"/>
    </row>
    <row r="304" spans="2:7" ht="12.75">
      <c r="B304" s="64"/>
      <c r="C304" s="64"/>
      <c r="D304" s="64"/>
      <c r="E304" s="64"/>
      <c r="F304" s="64"/>
      <c r="G304" s="64"/>
    </row>
    <row r="305" spans="2:7" ht="12.75">
      <c r="B305" s="64"/>
      <c r="C305" s="64"/>
      <c r="D305" s="64"/>
      <c r="E305" s="64"/>
      <c r="F305" s="64"/>
      <c r="G305" s="64"/>
    </row>
    <row r="306" spans="2:7" ht="12.75">
      <c r="B306" s="64"/>
      <c r="C306" s="64"/>
      <c r="D306" s="64"/>
      <c r="E306" s="64"/>
      <c r="F306" s="64"/>
      <c r="G306" s="64"/>
    </row>
    <row r="307" spans="2:7" ht="12.75">
      <c r="B307" s="64"/>
      <c r="C307" s="64"/>
      <c r="D307" s="64"/>
      <c r="E307" s="64"/>
      <c r="F307" s="64"/>
      <c r="G307" s="64"/>
    </row>
    <row r="308" spans="2:7" ht="12.75">
      <c r="B308" s="64"/>
      <c r="C308" s="64"/>
      <c r="D308" s="64"/>
      <c r="E308" s="64"/>
      <c r="F308" s="64"/>
      <c r="G308" s="64"/>
    </row>
    <row r="309" spans="2:7" ht="12.75">
      <c r="B309" s="64"/>
      <c r="C309" s="64"/>
      <c r="D309" s="64"/>
      <c r="E309" s="64"/>
      <c r="F309" s="64"/>
      <c r="G309" s="64"/>
    </row>
    <row r="310" spans="2:7" ht="12.75">
      <c r="B310" s="64"/>
      <c r="C310" s="64"/>
      <c r="D310" s="64"/>
      <c r="E310" s="64"/>
      <c r="F310" s="64"/>
      <c r="G310" s="64"/>
    </row>
    <row r="311" spans="2:7" ht="12.75">
      <c r="B311" s="64"/>
      <c r="C311" s="64"/>
      <c r="D311" s="64"/>
      <c r="E311" s="64"/>
      <c r="F311" s="64"/>
      <c r="G311" s="64"/>
    </row>
    <row r="312" spans="2:7" ht="12.75">
      <c r="B312" s="64"/>
      <c r="C312" s="64"/>
      <c r="D312" s="64"/>
      <c r="E312" s="64"/>
      <c r="F312" s="64"/>
      <c r="G312" s="64"/>
    </row>
    <row r="313" spans="2:7" ht="12.75">
      <c r="B313" s="64"/>
      <c r="C313" s="64"/>
      <c r="D313" s="64"/>
      <c r="E313" s="64"/>
      <c r="F313" s="64"/>
      <c r="G313" s="64"/>
    </row>
    <row r="314" spans="2:7" ht="12.75">
      <c r="B314" s="64"/>
      <c r="C314" s="64"/>
      <c r="D314" s="64"/>
      <c r="E314" s="64"/>
      <c r="F314" s="64"/>
      <c r="G314" s="64"/>
    </row>
    <row r="315" spans="2:7" ht="12.75">
      <c r="B315" s="64"/>
      <c r="C315" s="64"/>
      <c r="D315" s="64"/>
      <c r="E315" s="64"/>
      <c r="F315" s="64"/>
      <c r="G315" s="64"/>
    </row>
    <row r="316" spans="2:7" ht="12.75">
      <c r="B316" s="64"/>
      <c r="C316" s="64"/>
      <c r="D316" s="64"/>
      <c r="E316" s="64"/>
      <c r="F316" s="64"/>
      <c r="G316" s="64"/>
    </row>
    <row r="317" spans="2:7" ht="12.75">
      <c r="B317" s="64"/>
      <c r="C317" s="64"/>
      <c r="D317" s="64"/>
      <c r="E317" s="64"/>
      <c r="F317" s="64"/>
      <c r="G317" s="64"/>
    </row>
    <row r="318" spans="2:7" ht="12.75">
      <c r="B318" s="64"/>
      <c r="C318" s="64"/>
      <c r="D318" s="64"/>
      <c r="E318" s="64"/>
      <c r="F318" s="64"/>
      <c r="G318" s="64"/>
    </row>
    <row r="319" spans="2:7" ht="12.75">
      <c r="B319" s="64"/>
      <c r="C319" s="64"/>
      <c r="D319" s="64"/>
      <c r="E319" s="64"/>
      <c r="F319" s="64"/>
      <c r="G319" s="64"/>
    </row>
    <row r="320" spans="2:7" ht="12.75">
      <c r="B320" s="64"/>
      <c r="C320" s="64"/>
      <c r="D320" s="64"/>
      <c r="E320" s="64"/>
      <c r="F320" s="64"/>
      <c r="G320" s="64"/>
    </row>
    <row r="321" spans="2:7" ht="12.75">
      <c r="B321" s="64"/>
      <c r="C321" s="64"/>
      <c r="D321" s="64"/>
      <c r="E321" s="64"/>
      <c r="F321" s="64"/>
      <c r="G321" s="64"/>
    </row>
    <row r="322" spans="2:7" ht="12.75">
      <c r="B322" s="64"/>
      <c r="C322" s="64"/>
      <c r="D322" s="64"/>
      <c r="E322" s="64"/>
      <c r="F322" s="64"/>
      <c r="G322" s="64"/>
    </row>
    <row r="323" spans="2:7" ht="12.75">
      <c r="B323" s="64"/>
      <c r="C323" s="64"/>
      <c r="D323" s="64"/>
      <c r="E323" s="64"/>
      <c r="F323" s="64"/>
      <c r="G323" s="64"/>
    </row>
    <row r="324" spans="2:7" ht="12.75">
      <c r="B324" s="64"/>
      <c r="C324" s="64"/>
      <c r="D324" s="64"/>
      <c r="E324" s="64"/>
      <c r="F324" s="64"/>
      <c r="G324" s="64"/>
    </row>
    <row r="325" spans="2:7" ht="12.75">
      <c r="B325" s="64"/>
      <c r="C325" s="64"/>
      <c r="D325" s="64"/>
      <c r="E325" s="64"/>
      <c r="F325" s="64"/>
      <c r="G325" s="64"/>
    </row>
    <row r="326" spans="2:7" ht="12.75">
      <c r="B326" s="64"/>
      <c r="C326" s="64"/>
      <c r="D326" s="64"/>
      <c r="E326" s="64"/>
      <c r="F326" s="64"/>
      <c r="G326" s="64"/>
    </row>
    <row r="327" spans="2:7" ht="12.75">
      <c r="B327" s="64"/>
      <c r="C327" s="64"/>
      <c r="D327" s="64"/>
      <c r="E327" s="64"/>
      <c r="F327" s="64"/>
      <c r="G327" s="64"/>
    </row>
    <row r="328" spans="2:7" ht="12.75">
      <c r="B328" s="64"/>
      <c r="C328" s="64"/>
      <c r="D328" s="64"/>
      <c r="E328" s="64"/>
      <c r="F328" s="64"/>
      <c r="G328" s="64"/>
    </row>
    <row r="329" spans="2:7" ht="12.75">
      <c r="B329" s="64"/>
      <c r="C329" s="64"/>
      <c r="D329" s="64"/>
      <c r="E329" s="64"/>
      <c r="F329" s="64"/>
      <c r="G329" s="64"/>
    </row>
    <row r="330" spans="2:7" ht="12.75">
      <c r="B330" s="64"/>
      <c r="C330" s="64"/>
      <c r="D330" s="64"/>
      <c r="E330" s="64"/>
      <c r="F330" s="64"/>
      <c r="G330" s="64"/>
    </row>
    <row r="331" spans="2:7" ht="12.75">
      <c r="B331" s="64"/>
      <c r="C331" s="64"/>
      <c r="D331" s="64"/>
      <c r="E331" s="64"/>
      <c r="F331" s="64"/>
      <c r="G331" s="64"/>
    </row>
    <row r="332" spans="2:7" ht="12.75">
      <c r="B332" s="64"/>
      <c r="C332" s="64"/>
      <c r="D332" s="64"/>
      <c r="E332" s="64"/>
      <c r="F332" s="64"/>
      <c r="G332" s="64"/>
    </row>
    <row r="333" spans="2:7" ht="12.75">
      <c r="B333" s="64"/>
      <c r="C333" s="64"/>
      <c r="D333" s="64"/>
      <c r="E333" s="64"/>
      <c r="F333" s="64"/>
      <c r="G333" s="64"/>
    </row>
    <row r="334" spans="2:7" ht="12.75">
      <c r="B334" s="64"/>
      <c r="C334" s="64"/>
      <c r="D334" s="64"/>
      <c r="E334" s="64"/>
      <c r="F334" s="64"/>
      <c r="G334" s="64"/>
    </row>
    <row r="335" spans="2:7" ht="12.75">
      <c r="B335" s="64"/>
      <c r="C335" s="64"/>
      <c r="D335" s="64"/>
      <c r="E335" s="64"/>
      <c r="F335" s="64"/>
      <c r="G335" s="64"/>
    </row>
    <row r="336" spans="2:7" ht="12.75">
      <c r="B336" s="64"/>
      <c r="C336" s="64"/>
      <c r="D336" s="64"/>
      <c r="E336" s="64"/>
      <c r="F336" s="64"/>
      <c r="G336" s="64"/>
    </row>
    <row r="337" spans="2:7" ht="12.75">
      <c r="B337" s="64"/>
      <c r="C337" s="64"/>
      <c r="D337" s="64"/>
      <c r="E337" s="64"/>
      <c r="F337" s="64"/>
      <c r="G337" s="64"/>
    </row>
    <row r="338" spans="2:7" ht="12.75">
      <c r="B338" s="64"/>
      <c r="C338" s="64"/>
      <c r="D338" s="64"/>
      <c r="E338" s="64"/>
      <c r="F338" s="64"/>
      <c r="G338" s="64"/>
    </row>
    <row r="339" spans="2:7" ht="12.75">
      <c r="B339" s="64"/>
      <c r="C339" s="64"/>
      <c r="D339" s="64"/>
      <c r="E339" s="64"/>
      <c r="F339" s="64"/>
      <c r="G339" s="64"/>
    </row>
    <row r="340" spans="2:7" ht="12.75">
      <c r="B340" s="64"/>
      <c r="C340" s="64"/>
      <c r="D340" s="64"/>
      <c r="E340" s="64"/>
      <c r="F340" s="64"/>
      <c r="G340" s="64"/>
    </row>
    <row r="341" spans="2:7" ht="12.75">
      <c r="B341" s="64"/>
      <c r="C341" s="64"/>
      <c r="D341" s="64"/>
      <c r="E341" s="64"/>
      <c r="F341" s="64"/>
      <c r="G341" s="64"/>
    </row>
    <row r="342" spans="2:7" ht="12.75">
      <c r="B342" s="64"/>
      <c r="C342" s="64"/>
      <c r="D342" s="64"/>
      <c r="E342" s="64"/>
      <c r="F342" s="64"/>
      <c r="G342" s="64"/>
    </row>
    <row r="343" spans="2:7" ht="12.75">
      <c r="B343" s="64"/>
      <c r="C343" s="64"/>
      <c r="D343" s="64"/>
      <c r="E343" s="64"/>
      <c r="F343" s="64"/>
      <c r="G343" s="64"/>
    </row>
    <row r="344" spans="2:7" ht="12.75">
      <c r="B344" s="64"/>
      <c r="C344" s="64"/>
      <c r="D344" s="64"/>
      <c r="E344" s="64"/>
      <c r="F344" s="64"/>
      <c r="G344" s="64"/>
    </row>
    <row r="345" spans="2:7" ht="12.75">
      <c r="B345" s="64"/>
      <c r="C345" s="64"/>
      <c r="D345" s="64"/>
      <c r="E345" s="64"/>
      <c r="F345" s="64"/>
      <c r="G345" s="64"/>
    </row>
    <row r="346" spans="2:7" ht="12.75">
      <c r="B346" s="64"/>
      <c r="C346" s="64"/>
      <c r="D346" s="64"/>
      <c r="E346" s="64"/>
      <c r="F346" s="64"/>
      <c r="G346" s="64"/>
    </row>
    <row r="347" spans="2:7" ht="12.75">
      <c r="B347" s="64"/>
      <c r="C347" s="64"/>
      <c r="D347" s="64"/>
      <c r="E347" s="64"/>
      <c r="F347" s="64"/>
      <c r="G347" s="64"/>
    </row>
    <row r="348" spans="2:7" ht="12.75">
      <c r="B348" s="64"/>
      <c r="C348" s="64"/>
      <c r="D348" s="64"/>
      <c r="E348" s="64"/>
      <c r="F348" s="64"/>
      <c r="G348" s="64"/>
    </row>
    <row r="349" spans="2:7" ht="12.75">
      <c r="B349" s="64"/>
      <c r="C349" s="64"/>
      <c r="D349" s="64"/>
      <c r="E349" s="64"/>
      <c r="F349" s="64"/>
      <c r="G349" s="64"/>
    </row>
    <row r="350" spans="2:7" ht="12.75">
      <c r="B350" s="64"/>
      <c r="C350" s="64"/>
      <c r="D350" s="64"/>
      <c r="E350" s="64"/>
      <c r="F350" s="64"/>
      <c r="G350" s="64"/>
    </row>
    <row r="351" spans="2:7" ht="12.75">
      <c r="B351" s="64"/>
      <c r="C351" s="64"/>
      <c r="D351" s="64"/>
      <c r="E351" s="64"/>
      <c r="F351" s="64"/>
      <c r="G351" s="64"/>
    </row>
    <row r="352" spans="2:7" ht="12.75">
      <c r="B352" s="64"/>
      <c r="C352" s="64"/>
      <c r="D352" s="64"/>
      <c r="E352" s="64"/>
      <c r="F352" s="64"/>
      <c r="G352" s="64"/>
    </row>
    <row r="353" spans="2:7" ht="12.75">
      <c r="B353" s="64"/>
      <c r="C353" s="64"/>
      <c r="D353" s="64"/>
      <c r="E353" s="64"/>
      <c r="F353" s="64"/>
      <c r="G353" s="64"/>
    </row>
    <row r="354" spans="2:7" ht="12.75">
      <c r="B354" s="64"/>
      <c r="C354" s="64"/>
      <c r="D354" s="64"/>
      <c r="E354" s="64"/>
      <c r="F354" s="64"/>
      <c r="G354" s="64"/>
    </row>
    <row r="355" spans="2:7" ht="12.75">
      <c r="B355" s="64"/>
      <c r="C355" s="64"/>
      <c r="D355" s="64"/>
      <c r="E355" s="64"/>
      <c r="F355" s="64"/>
      <c r="G355" s="64"/>
    </row>
    <row r="356" spans="2:7" ht="12.75">
      <c r="B356" s="64"/>
      <c r="C356" s="64"/>
      <c r="D356" s="64"/>
      <c r="E356" s="64"/>
      <c r="F356" s="64"/>
      <c r="G356" s="64"/>
    </row>
    <row r="357" spans="2:7" ht="12.75">
      <c r="B357" s="64"/>
      <c r="C357" s="64"/>
      <c r="D357" s="64"/>
      <c r="E357" s="64"/>
      <c r="F357" s="64"/>
      <c r="G357" s="64"/>
    </row>
    <row r="358" spans="2:7" ht="12.75">
      <c r="B358" s="64"/>
      <c r="C358" s="64"/>
      <c r="D358" s="64"/>
      <c r="E358" s="64"/>
      <c r="F358" s="64"/>
      <c r="G358" s="64"/>
    </row>
    <row r="359" spans="2:7" ht="12.75">
      <c r="B359" s="64"/>
      <c r="C359" s="64"/>
      <c r="D359" s="64"/>
      <c r="E359" s="64"/>
      <c r="F359" s="64"/>
      <c r="G359" s="64"/>
    </row>
    <row r="360" spans="2:7" ht="12.75">
      <c r="B360" s="64"/>
      <c r="C360" s="64"/>
      <c r="D360" s="64"/>
      <c r="E360" s="64"/>
      <c r="F360" s="64"/>
      <c r="G360" s="64"/>
    </row>
    <row r="361" spans="2:7" ht="12.75">
      <c r="B361" s="64"/>
      <c r="C361" s="64"/>
      <c r="D361" s="64"/>
      <c r="E361" s="64"/>
      <c r="F361" s="64"/>
      <c r="G361" s="64"/>
    </row>
    <row r="362" spans="2:7" ht="12.75">
      <c r="B362" s="64"/>
      <c r="C362" s="64"/>
      <c r="D362" s="64"/>
      <c r="E362" s="64"/>
      <c r="F362" s="64"/>
      <c r="G362" s="64"/>
    </row>
    <row r="363" spans="2:7" ht="12.75">
      <c r="B363" s="64"/>
      <c r="C363" s="64"/>
      <c r="D363" s="64"/>
      <c r="E363" s="64"/>
      <c r="F363" s="64"/>
      <c r="G363" s="64"/>
    </row>
    <row r="364" spans="2:7" ht="12.75">
      <c r="B364" s="64"/>
      <c r="C364" s="64"/>
      <c r="D364" s="64"/>
      <c r="E364" s="64"/>
      <c r="F364" s="64"/>
      <c r="G364" s="64"/>
    </row>
    <row r="365" spans="2:7" ht="12.75">
      <c r="B365" s="64"/>
      <c r="C365" s="64"/>
      <c r="D365" s="64"/>
      <c r="E365" s="64"/>
      <c r="F365" s="64"/>
      <c r="G365" s="64"/>
    </row>
    <row r="366" spans="2:7" ht="12.75">
      <c r="B366" s="64"/>
      <c r="C366" s="64"/>
      <c r="D366" s="64"/>
      <c r="E366" s="64"/>
      <c r="F366" s="64"/>
      <c r="G366" s="64"/>
    </row>
    <row r="367" spans="2:7" ht="12.75">
      <c r="B367" s="64"/>
      <c r="C367" s="64"/>
      <c r="D367" s="64"/>
      <c r="E367" s="64"/>
      <c r="F367" s="64"/>
      <c r="G367" s="64"/>
    </row>
    <row r="368" spans="2:7" ht="12.75">
      <c r="B368" s="64"/>
      <c r="C368" s="64"/>
      <c r="D368" s="64"/>
      <c r="E368" s="64"/>
      <c r="F368" s="64"/>
      <c r="G368" s="64"/>
    </row>
    <row r="369" spans="2:7" ht="12.75">
      <c r="B369" s="64"/>
      <c r="C369" s="64"/>
      <c r="D369" s="64"/>
      <c r="E369" s="64"/>
      <c r="F369" s="64"/>
      <c r="G369" s="64"/>
    </row>
    <row r="370" spans="2:7" ht="12.75">
      <c r="B370" s="64"/>
      <c r="C370" s="64"/>
      <c r="D370" s="64"/>
      <c r="E370" s="64"/>
      <c r="F370" s="64"/>
      <c r="G370" s="64"/>
    </row>
    <row r="371" spans="2:7" ht="12.75">
      <c r="B371" s="64"/>
      <c r="C371" s="64"/>
      <c r="D371" s="64"/>
      <c r="E371" s="64"/>
      <c r="F371" s="64"/>
      <c r="G371" s="64"/>
    </row>
    <row r="372" spans="2:7" ht="12.75">
      <c r="B372" s="64"/>
      <c r="C372" s="64"/>
      <c r="D372" s="64"/>
      <c r="E372" s="64"/>
      <c r="F372" s="64"/>
      <c r="G372" s="64"/>
    </row>
    <row r="373" spans="2:7" ht="12.75">
      <c r="B373" s="64"/>
      <c r="C373" s="64"/>
      <c r="D373" s="64"/>
      <c r="E373" s="64"/>
      <c r="F373" s="64"/>
      <c r="G373" s="64"/>
    </row>
    <row r="374" spans="2:7" ht="12.75">
      <c r="B374" s="64"/>
      <c r="C374" s="64"/>
      <c r="D374" s="64"/>
      <c r="E374" s="64"/>
      <c r="F374" s="64"/>
      <c r="G374" s="64"/>
    </row>
    <row r="375" spans="2:7" ht="12.75">
      <c r="B375" s="64"/>
      <c r="C375" s="64"/>
      <c r="D375" s="64"/>
      <c r="E375" s="64"/>
      <c r="F375" s="64"/>
      <c r="G375" s="64"/>
    </row>
    <row r="376" spans="2:7" ht="12.75">
      <c r="B376" s="64"/>
      <c r="C376" s="64"/>
      <c r="D376" s="64"/>
      <c r="E376" s="64"/>
      <c r="F376" s="64"/>
      <c r="G376" s="64"/>
    </row>
    <row r="377" spans="2:7" ht="12.75">
      <c r="B377" s="64"/>
      <c r="C377" s="64"/>
      <c r="D377" s="64"/>
      <c r="E377" s="64"/>
      <c r="F377" s="64"/>
      <c r="G377" s="64"/>
    </row>
    <row r="378" spans="2:7" ht="12.75">
      <c r="B378" s="64"/>
      <c r="C378" s="64"/>
      <c r="D378" s="64"/>
      <c r="E378" s="64"/>
      <c r="F378" s="64"/>
      <c r="G378" s="64"/>
    </row>
    <row r="379" spans="2:7" ht="12.75">
      <c r="B379" s="64"/>
      <c r="C379" s="64"/>
      <c r="D379" s="64"/>
      <c r="E379" s="64"/>
      <c r="F379" s="64"/>
      <c r="G379" s="64"/>
    </row>
    <row r="380" spans="2:7" ht="12.75">
      <c r="B380" s="64"/>
      <c r="C380" s="64"/>
      <c r="D380" s="64"/>
      <c r="E380" s="64"/>
      <c r="F380" s="64"/>
      <c r="G380" s="64"/>
    </row>
    <row r="381" spans="2:7" ht="12.75">
      <c r="B381" s="64"/>
      <c r="C381" s="64"/>
      <c r="D381" s="64"/>
      <c r="E381" s="64"/>
      <c r="F381" s="64"/>
      <c r="G381" s="64"/>
    </row>
    <row r="382" spans="2:7" ht="12.75">
      <c r="B382" s="64"/>
      <c r="C382" s="64"/>
      <c r="D382" s="64"/>
      <c r="E382" s="64"/>
      <c r="F382" s="64"/>
      <c r="G382" s="64"/>
    </row>
    <row r="383" spans="2:7" ht="12.75">
      <c r="B383" s="64"/>
      <c r="C383" s="64"/>
      <c r="D383" s="64"/>
      <c r="E383" s="64"/>
      <c r="F383" s="64"/>
      <c r="G383" s="64"/>
    </row>
    <row r="384" spans="2:7" ht="12.75">
      <c r="B384" s="64"/>
      <c r="C384" s="64"/>
      <c r="D384" s="64"/>
      <c r="E384" s="64"/>
      <c r="F384" s="64"/>
      <c r="G384" s="64"/>
    </row>
    <row r="385" spans="2:7" ht="12.75">
      <c r="B385" s="64"/>
      <c r="C385" s="64"/>
      <c r="D385" s="64"/>
      <c r="E385" s="64"/>
      <c r="F385" s="64"/>
      <c r="G385" s="64"/>
    </row>
    <row r="386" spans="2:7" ht="12.75">
      <c r="B386" s="64"/>
      <c r="C386" s="64"/>
      <c r="D386" s="64"/>
      <c r="E386" s="64"/>
      <c r="F386" s="64"/>
      <c r="G386" s="64"/>
    </row>
    <row r="387" spans="2:7" ht="12.75">
      <c r="B387" s="64"/>
      <c r="C387" s="64"/>
      <c r="D387" s="64"/>
      <c r="E387" s="64"/>
      <c r="F387" s="64"/>
      <c r="G387" s="64"/>
    </row>
    <row r="388" spans="2:7" ht="12.75">
      <c r="B388" s="64"/>
      <c r="C388" s="64"/>
      <c r="D388" s="64"/>
      <c r="E388" s="64"/>
      <c r="F388" s="64"/>
      <c r="G388" s="64"/>
    </row>
    <row r="389" spans="2:7" ht="12.75">
      <c r="B389" s="64"/>
      <c r="C389" s="64"/>
      <c r="D389" s="64"/>
      <c r="E389" s="64"/>
      <c r="F389" s="64"/>
      <c r="G389" s="64"/>
    </row>
    <row r="390" spans="2:7" ht="12.75">
      <c r="B390" s="64"/>
      <c r="C390" s="64"/>
      <c r="D390" s="64"/>
      <c r="E390" s="64"/>
      <c r="F390" s="64"/>
      <c r="G390" s="64"/>
    </row>
    <row r="391" spans="2:7" ht="12.75">
      <c r="B391" s="64"/>
      <c r="C391" s="64"/>
      <c r="D391" s="64"/>
      <c r="E391" s="64"/>
      <c r="F391" s="64"/>
      <c r="G391" s="64"/>
    </row>
    <row r="392" spans="2:7" ht="12.75">
      <c r="B392" s="64"/>
      <c r="C392" s="64"/>
      <c r="D392" s="64"/>
      <c r="E392" s="64"/>
      <c r="F392" s="64"/>
      <c r="G392" s="64"/>
    </row>
    <row r="393" spans="2:7" ht="12.75">
      <c r="B393" s="64"/>
      <c r="C393" s="64"/>
      <c r="D393" s="64"/>
      <c r="E393" s="64"/>
      <c r="F393" s="64"/>
      <c r="G393" s="64"/>
    </row>
    <row r="394" spans="2:7" ht="12.75">
      <c r="B394" s="64"/>
      <c r="C394" s="64"/>
      <c r="D394" s="64"/>
      <c r="E394" s="64"/>
      <c r="F394" s="64"/>
      <c r="G394" s="64"/>
    </row>
    <row r="395" spans="2:7" ht="12.75">
      <c r="B395" s="64"/>
      <c r="C395" s="64"/>
      <c r="D395" s="64"/>
      <c r="E395" s="64"/>
      <c r="F395" s="64"/>
      <c r="G395" s="64"/>
    </row>
    <row r="396" spans="2:7" ht="12.75">
      <c r="B396" s="64"/>
      <c r="C396" s="64"/>
      <c r="D396" s="64"/>
      <c r="E396" s="64"/>
      <c r="F396" s="64"/>
      <c r="G396" s="64"/>
    </row>
    <row r="397" spans="2:7" ht="12.75">
      <c r="B397" s="64"/>
      <c r="C397" s="64"/>
      <c r="D397" s="64"/>
      <c r="E397" s="64"/>
      <c r="F397" s="64"/>
      <c r="G397" s="64"/>
    </row>
    <row r="398" spans="2:7" ht="12.75">
      <c r="B398" s="64"/>
      <c r="C398" s="64"/>
      <c r="D398" s="64"/>
      <c r="E398" s="64"/>
      <c r="F398" s="64"/>
      <c r="G398" s="64"/>
    </row>
    <row r="399" spans="2:7" ht="12.75">
      <c r="B399" s="64"/>
      <c r="C399" s="64"/>
      <c r="D399" s="64"/>
      <c r="E399" s="64"/>
      <c r="F399" s="64"/>
      <c r="G399" s="64"/>
    </row>
    <row r="400" spans="2:7" ht="12.75">
      <c r="B400" s="64"/>
      <c r="C400" s="64"/>
      <c r="D400" s="64"/>
      <c r="E400" s="64"/>
      <c r="F400" s="64"/>
      <c r="G400" s="64"/>
    </row>
    <row r="401" spans="2:7" ht="12.75">
      <c r="B401" s="64"/>
      <c r="C401" s="64"/>
      <c r="D401" s="64"/>
      <c r="E401" s="64"/>
      <c r="F401" s="64"/>
      <c r="G401" s="64"/>
    </row>
    <row r="402" spans="2:7" ht="12.75">
      <c r="B402" s="64"/>
      <c r="C402" s="64"/>
      <c r="D402" s="64"/>
      <c r="E402" s="64"/>
      <c r="F402" s="64"/>
      <c r="G402" s="64"/>
    </row>
    <row r="403" spans="2:7" ht="12.75">
      <c r="B403" s="64"/>
      <c r="C403" s="64"/>
      <c r="D403" s="64"/>
      <c r="E403" s="64"/>
      <c r="F403" s="64"/>
      <c r="G403" s="64"/>
    </row>
    <row r="404" spans="2:7" ht="12.75">
      <c r="B404" s="64"/>
      <c r="C404" s="64"/>
      <c r="D404" s="64"/>
      <c r="E404" s="64"/>
      <c r="F404" s="64"/>
      <c r="G404" s="64"/>
    </row>
    <row r="405" spans="2:7" ht="12.75">
      <c r="B405" s="64"/>
      <c r="C405" s="64"/>
      <c r="D405" s="64"/>
      <c r="E405" s="64"/>
      <c r="F405" s="64"/>
      <c r="G405" s="64"/>
    </row>
    <row r="406" spans="2:7" ht="12.75">
      <c r="B406" s="64"/>
      <c r="C406" s="64"/>
      <c r="D406" s="64"/>
      <c r="E406" s="64"/>
      <c r="F406" s="64"/>
      <c r="G406" s="64"/>
    </row>
    <row r="407" spans="2:7" ht="12.75">
      <c r="B407" s="64"/>
      <c r="C407" s="64"/>
      <c r="D407" s="64"/>
      <c r="E407" s="64"/>
      <c r="F407" s="64"/>
      <c r="G407" s="64"/>
    </row>
    <row r="408" spans="2:7" ht="12.75">
      <c r="B408" s="64"/>
      <c r="C408" s="64"/>
      <c r="D408" s="64"/>
      <c r="E408" s="64"/>
      <c r="F408" s="64"/>
      <c r="G408" s="64"/>
    </row>
    <row r="409" spans="2:7" ht="12.75">
      <c r="B409" s="64"/>
      <c r="C409" s="64"/>
      <c r="D409" s="64"/>
      <c r="E409" s="64"/>
      <c r="F409" s="64"/>
      <c r="G409" s="64"/>
    </row>
    <row r="410" spans="2:7" ht="12.75">
      <c r="B410" s="64"/>
      <c r="C410" s="64"/>
      <c r="D410" s="64"/>
      <c r="E410" s="64"/>
      <c r="F410" s="64"/>
      <c r="G410" s="64"/>
    </row>
    <row r="411" spans="2:7" ht="12.75">
      <c r="B411" s="64"/>
      <c r="C411" s="64"/>
      <c r="D411" s="64"/>
      <c r="E411" s="64"/>
      <c r="F411" s="64"/>
      <c r="G411" s="64"/>
    </row>
    <row r="412" spans="2:7" ht="12.75">
      <c r="B412" s="64"/>
      <c r="C412" s="64"/>
      <c r="D412" s="64"/>
      <c r="E412" s="64"/>
      <c r="F412" s="64"/>
      <c r="G412" s="64"/>
    </row>
    <row r="413" spans="2:7" ht="12.75">
      <c r="B413" s="64"/>
      <c r="C413" s="64"/>
      <c r="D413" s="64"/>
      <c r="E413" s="64"/>
      <c r="F413" s="64"/>
      <c r="G413" s="64"/>
    </row>
    <row r="414" spans="2:7" ht="12.75">
      <c r="B414" s="64"/>
      <c r="C414" s="64"/>
      <c r="D414" s="64"/>
      <c r="E414" s="64"/>
      <c r="F414" s="64"/>
      <c r="G414" s="64"/>
    </row>
    <row r="415" spans="2:7" ht="12.75">
      <c r="B415" s="64"/>
      <c r="C415" s="64"/>
      <c r="D415" s="64"/>
      <c r="E415" s="64"/>
      <c r="F415" s="64"/>
      <c r="G415" s="64"/>
    </row>
    <row r="416" spans="2:7" ht="12.75">
      <c r="B416" s="64"/>
      <c r="C416" s="64"/>
      <c r="D416" s="64"/>
      <c r="E416" s="64"/>
      <c r="F416" s="64"/>
      <c r="G416" s="64"/>
    </row>
    <row r="417" spans="2:7" ht="12.75">
      <c r="B417" s="64"/>
      <c r="C417" s="64"/>
      <c r="D417" s="64"/>
      <c r="E417" s="64"/>
      <c r="F417" s="64"/>
      <c r="G417" s="64"/>
    </row>
    <row r="418" spans="2:7" ht="12.75">
      <c r="B418" s="64"/>
      <c r="C418" s="64"/>
      <c r="D418" s="64"/>
      <c r="E418" s="64"/>
      <c r="F418" s="64"/>
      <c r="G418" s="64"/>
    </row>
    <row r="419" spans="2:7" ht="12.75">
      <c r="B419" s="64"/>
      <c r="C419" s="64"/>
      <c r="D419" s="64"/>
      <c r="E419" s="64"/>
      <c r="F419" s="64"/>
      <c r="G419" s="64"/>
    </row>
    <row r="420" spans="2:7" ht="12.75">
      <c r="B420" s="64"/>
      <c r="C420" s="64"/>
      <c r="D420" s="64"/>
      <c r="E420" s="64"/>
      <c r="F420" s="64"/>
      <c r="G420" s="64"/>
    </row>
    <row r="421" spans="2:7" ht="12.75">
      <c r="B421" s="64"/>
      <c r="C421" s="64"/>
      <c r="D421" s="64"/>
      <c r="E421" s="64"/>
      <c r="F421" s="64"/>
      <c r="G421" s="64"/>
    </row>
    <row r="422" spans="2:7" ht="12.75">
      <c r="B422" s="64"/>
      <c r="C422" s="64"/>
      <c r="D422" s="64"/>
      <c r="E422" s="64"/>
      <c r="F422" s="64"/>
      <c r="G422" s="64"/>
    </row>
    <row r="423" spans="2:7" ht="12.75">
      <c r="B423" s="64"/>
      <c r="C423" s="64"/>
      <c r="D423" s="64"/>
      <c r="E423" s="64"/>
      <c r="F423" s="64"/>
      <c r="G423" s="64"/>
    </row>
    <row r="424" spans="2:7" ht="12.75">
      <c r="B424" s="64"/>
      <c r="C424" s="64"/>
      <c r="D424" s="64"/>
      <c r="E424" s="64"/>
      <c r="F424" s="64"/>
      <c r="G424" s="64"/>
    </row>
    <row r="425" spans="2:7" ht="12.75">
      <c r="B425" s="64"/>
      <c r="C425" s="64"/>
      <c r="D425" s="64"/>
      <c r="E425" s="64"/>
      <c r="F425" s="64"/>
      <c r="G425" s="64"/>
    </row>
    <row r="426" spans="2:7" ht="12.75">
      <c r="B426" s="64"/>
      <c r="C426" s="64"/>
      <c r="D426" s="64"/>
      <c r="E426" s="64"/>
      <c r="F426" s="64"/>
      <c r="G426" s="64"/>
    </row>
    <row r="427" spans="2:7" ht="12.75">
      <c r="B427" s="64"/>
      <c r="C427" s="64"/>
      <c r="D427" s="64"/>
      <c r="E427" s="64"/>
      <c r="F427" s="64"/>
      <c r="G427" s="64"/>
    </row>
    <row r="428" spans="2:7" ht="12.75">
      <c r="B428" s="64"/>
      <c r="C428" s="64"/>
      <c r="D428" s="64"/>
      <c r="E428" s="64"/>
      <c r="F428" s="64"/>
      <c r="G428" s="64"/>
    </row>
    <row r="429" spans="2:7" ht="12.75">
      <c r="B429" s="64"/>
      <c r="C429" s="64"/>
      <c r="D429" s="64"/>
      <c r="E429" s="64"/>
      <c r="F429" s="64"/>
      <c r="G429" s="64"/>
    </row>
    <row r="430" spans="2:7" ht="12.75">
      <c r="B430" s="64"/>
      <c r="C430" s="64"/>
      <c r="D430" s="64"/>
      <c r="E430" s="64"/>
      <c r="F430" s="64"/>
      <c r="G430" s="64"/>
    </row>
    <row r="431" spans="2:7" ht="12.75">
      <c r="B431" s="64"/>
      <c r="C431" s="64"/>
      <c r="D431" s="64"/>
      <c r="E431" s="64"/>
      <c r="F431" s="64"/>
      <c r="G431" s="64"/>
    </row>
    <row r="432" spans="2:7" ht="12.75">
      <c r="B432" s="64"/>
      <c r="C432" s="64"/>
      <c r="D432" s="64"/>
      <c r="E432" s="64"/>
      <c r="F432" s="64"/>
      <c r="G432" s="64"/>
    </row>
    <row r="433" spans="2:7" ht="12.75">
      <c r="B433" s="64"/>
      <c r="C433" s="64"/>
      <c r="D433" s="64"/>
      <c r="E433" s="64"/>
      <c r="F433" s="64"/>
      <c r="G433" s="64"/>
    </row>
    <row r="434" spans="2:7" ht="12.75">
      <c r="B434" s="64"/>
      <c r="C434" s="64"/>
      <c r="D434" s="64"/>
      <c r="E434" s="64"/>
      <c r="F434" s="64"/>
      <c r="G434" s="64"/>
    </row>
    <row r="435" spans="2:7" ht="12.75">
      <c r="B435" s="64"/>
      <c r="C435" s="64"/>
      <c r="D435" s="64"/>
      <c r="E435" s="64"/>
      <c r="F435" s="64"/>
      <c r="G435" s="64"/>
    </row>
    <row r="436" spans="2:7" ht="12.75">
      <c r="B436" s="64"/>
      <c r="C436" s="64"/>
      <c r="D436" s="64"/>
      <c r="E436" s="64"/>
      <c r="F436" s="64"/>
      <c r="G436" s="64"/>
    </row>
    <row r="437" spans="2:7" ht="12.75">
      <c r="B437" s="64"/>
      <c r="C437" s="64"/>
      <c r="D437" s="64"/>
      <c r="E437" s="64"/>
      <c r="F437" s="64"/>
      <c r="G437" s="64"/>
    </row>
    <row r="438" spans="3:7" ht="12.75">
      <c r="C438" s="64"/>
      <c r="D438" s="64"/>
      <c r="E438" s="64"/>
      <c r="F438" s="64"/>
      <c r="G438" s="64"/>
    </row>
    <row r="439" spans="3:7" ht="12.75">
      <c r="C439" s="64"/>
      <c r="D439" s="64"/>
      <c r="E439" s="64"/>
      <c r="F439" s="64"/>
      <c r="G439" s="64"/>
    </row>
  </sheetData>
  <sheetProtection password="CA15" sheet="1" objects="1" scenarios="1"/>
  <mergeCells count="28">
    <mergeCell ref="E2:F2"/>
    <mergeCell ref="F20:G20"/>
    <mergeCell ref="F21:G21"/>
    <mergeCell ref="F15:G15"/>
    <mergeCell ref="F17:G17"/>
    <mergeCell ref="F18:G18"/>
    <mergeCell ref="F19:G19"/>
    <mergeCell ref="F14:G14"/>
    <mergeCell ref="E13:F13"/>
    <mergeCell ref="F16:G16"/>
    <mergeCell ref="F22:G22"/>
    <mergeCell ref="F23:G23"/>
    <mergeCell ref="F42:G42"/>
    <mergeCell ref="F32:G32"/>
    <mergeCell ref="F41:G41"/>
    <mergeCell ref="F29:G29"/>
    <mergeCell ref="F33:G33"/>
    <mergeCell ref="F34:G34"/>
    <mergeCell ref="F45:G45"/>
    <mergeCell ref="F24:G24"/>
    <mergeCell ref="F25:G25"/>
    <mergeCell ref="F26:G26"/>
    <mergeCell ref="F27:G27"/>
    <mergeCell ref="F28:G28"/>
    <mergeCell ref="F30:G30"/>
    <mergeCell ref="F31:G31"/>
    <mergeCell ref="F43:G43"/>
    <mergeCell ref="F44:G44"/>
  </mergeCells>
  <hyperlinks>
    <hyperlink ref="B49" r:id="rId1" display="tarasov@nscl.msu.edu"/>
    <hyperlink ref="B50" r:id="rId2" display="www.nscl.msu.edu/~tarasov"/>
    <hyperlink ref="B51" r:id="rId3" display="www.dnr080.jinr.ru"/>
    <hyperlink ref="B54" r:id="rId4" display="www.nscl.msu.edu/lise"/>
    <hyperlink ref="B55" r:id="rId5" display="www.dnr080.jinr.ru"/>
  </hyperlinks>
  <printOptions horizontalCentered="1"/>
  <pageMargins left="0.18" right="0.18" top="0.64" bottom="0.36" header="0.27" footer="0.2"/>
  <pageSetup fitToHeight="1" fitToWidth="1" horizontalDpi="600" verticalDpi="600" orientation="portrait" scale="61" r:id="rId8"/>
  <headerFooter alignWithMargins="0">
    <oddHeader>&amp;L&amp;D &amp;T &amp;C&amp;F &amp;R&amp;A</oddHeader>
  </headerFooter>
  <drawing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showGridLines="0" showRowColHeaders="0" workbookViewId="0" topLeftCell="A1">
      <selection activeCell="C11" sqref="C11"/>
    </sheetView>
  </sheetViews>
  <sheetFormatPr defaultColWidth="9.140625" defaultRowHeight="12.75"/>
  <cols>
    <col min="2" max="2" width="21.421875" style="0" customWidth="1"/>
    <col min="3" max="3" width="14.8515625" style="3" customWidth="1"/>
    <col min="4" max="4" width="23.7109375" style="0" customWidth="1"/>
    <col min="5" max="5" width="24.7109375" style="3" customWidth="1"/>
    <col min="6" max="6" width="9.140625" style="3" customWidth="1"/>
  </cols>
  <sheetData>
    <row r="1" spans="1:10" ht="12.75">
      <c r="A1" s="64"/>
      <c r="B1" s="64"/>
      <c r="C1" s="63"/>
      <c r="D1" s="64"/>
      <c r="E1" s="63"/>
      <c r="F1" s="63"/>
      <c r="G1" s="64"/>
      <c r="H1" s="64"/>
      <c r="I1" s="64"/>
      <c r="J1" s="64"/>
    </row>
    <row r="2" spans="1:10" ht="12.75">
      <c r="A2" s="64"/>
      <c r="B2" s="233" t="s">
        <v>340</v>
      </c>
      <c r="C2" s="63"/>
      <c r="D2" s="64"/>
      <c r="E2" s="63"/>
      <c r="F2" s="63"/>
      <c r="G2" s="64"/>
      <c r="H2" s="64"/>
      <c r="I2" s="64"/>
      <c r="J2" s="64"/>
    </row>
    <row r="3" spans="1:10" ht="12.75">
      <c r="A3" s="64"/>
      <c r="B3" s="64"/>
      <c r="C3" s="63"/>
      <c r="D3" s="64"/>
      <c r="E3" s="63"/>
      <c r="F3" s="63"/>
      <c r="G3" s="64"/>
      <c r="H3" s="64"/>
      <c r="I3" s="64"/>
      <c r="J3" s="64"/>
    </row>
    <row r="4" spans="1:10" ht="15.75" thickBot="1">
      <c r="A4" s="64"/>
      <c r="B4" s="296" t="s">
        <v>143</v>
      </c>
      <c r="C4" s="297"/>
      <c r="D4" s="247" t="s">
        <v>332</v>
      </c>
      <c r="E4" s="248"/>
      <c r="F4" s="63"/>
      <c r="G4" s="64"/>
      <c r="H4" s="64"/>
      <c r="I4" s="64"/>
      <c r="J4" s="64"/>
    </row>
    <row r="5" spans="1:10" ht="12.75">
      <c r="A5" s="64"/>
      <c r="B5" s="31" t="s">
        <v>349</v>
      </c>
      <c r="C5" s="230">
        <v>103</v>
      </c>
      <c r="D5" s="249" t="s">
        <v>339</v>
      </c>
      <c r="E5" s="240"/>
      <c r="F5" s="63"/>
      <c r="G5" s="64"/>
      <c r="H5" s="64"/>
      <c r="I5" s="64"/>
      <c r="J5" s="64"/>
    </row>
    <row r="6" spans="1:10" ht="12.75">
      <c r="A6" s="64"/>
      <c r="B6" s="31" t="s">
        <v>135</v>
      </c>
      <c r="C6" s="231">
        <v>208</v>
      </c>
      <c r="D6" s="250" t="s">
        <v>335</v>
      </c>
      <c r="E6" s="109"/>
      <c r="F6" s="63"/>
      <c r="G6" s="64"/>
      <c r="H6" s="64"/>
      <c r="I6" s="64"/>
      <c r="J6" s="64"/>
    </row>
    <row r="7" spans="1:10" ht="12.75">
      <c r="A7" s="64"/>
      <c r="B7" s="31" t="s">
        <v>134</v>
      </c>
      <c r="C7" s="231">
        <v>81</v>
      </c>
      <c r="D7" s="250" t="s">
        <v>336</v>
      </c>
      <c r="E7" s="109"/>
      <c r="F7" s="63"/>
      <c r="G7" s="64"/>
      <c r="H7" s="64"/>
      <c r="I7" s="64"/>
      <c r="J7" s="64"/>
    </row>
    <row r="8" spans="1:10" ht="12.75">
      <c r="A8" s="64"/>
      <c r="B8" s="31" t="s">
        <v>346</v>
      </c>
      <c r="C8" s="231">
        <v>0</v>
      </c>
      <c r="D8" s="250" t="s">
        <v>334</v>
      </c>
      <c r="E8" s="109"/>
      <c r="F8" s="63"/>
      <c r="G8" s="64"/>
      <c r="H8" s="64"/>
      <c r="I8" s="64"/>
      <c r="J8" s="64"/>
    </row>
    <row r="9" spans="1:10" ht="12.75">
      <c r="A9" s="64"/>
      <c r="B9" s="31" t="s">
        <v>138</v>
      </c>
      <c r="C9" s="231">
        <v>100</v>
      </c>
      <c r="D9" s="250" t="s">
        <v>352</v>
      </c>
      <c r="E9" s="109"/>
      <c r="F9" s="63"/>
      <c r="G9" s="64"/>
      <c r="H9" s="64"/>
      <c r="I9" s="64"/>
      <c r="J9" s="64"/>
    </row>
    <row r="10" spans="1:10" ht="12.75">
      <c r="A10" s="64"/>
      <c r="B10" s="31" t="s">
        <v>137</v>
      </c>
      <c r="C10" s="231">
        <v>208</v>
      </c>
      <c r="D10" s="250" t="s">
        <v>337</v>
      </c>
      <c r="E10" s="109"/>
      <c r="F10" s="63"/>
      <c r="G10" s="64"/>
      <c r="I10" s="64"/>
      <c r="J10" s="64"/>
    </row>
    <row r="11" spans="1:10" ht="12.75">
      <c r="A11" s="64"/>
      <c r="B11" s="31" t="s">
        <v>136</v>
      </c>
      <c r="C11" s="231">
        <v>5</v>
      </c>
      <c r="D11" s="250" t="s">
        <v>338</v>
      </c>
      <c r="E11" s="109"/>
      <c r="F11" s="63"/>
      <c r="G11" s="64"/>
      <c r="I11" s="64"/>
      <c r="J11" s="64"/>
    </row>
    <row r="12" spans="1:10" ht="12.75">
      <c r="A12" s="64"/>
      <c r="B12" s="31" t="s">
        <v>140</v>
      </c>
      <c r="C12" s="231">
        <v>10</v>
      </c>
      <c r="D12" s="250" t="s">
        <v>141</v>
      </c>
      <c r="E12" s="109"/>
      <c r="F12" s="63"/>
      <c r="G12" s="64"/>
      <c r="H12" s="64"/>
      <c r="I12" s="64"/>
      <c r="J12" s="64"/>
    </row>
    <row r="13" spans="1:10" ht="12.75">
      <c r="A13" s="64"/>
      <c r="B13" s="31" t="s">
        <v>347</v>
      </c>
      <c r="C13" s="231">
        <v>3</v>
      </c>
      <c r="D13" s="250" t="s">
        <v>350</v>
      </c>
      <c r="E13" s="109"/>
      <c r="F13" s="63"/>
      <c r="G13" s="64"/>
      <c r="H13" s="64"/>
      <c r="I13" s="64"/>
      <c r="J13" s="64"/>
    </row>
    <row r="14" spans="1:10" ht="12.75">
      <c r="A14" s="64"/>
      <c r="B14" s="31" t="s">
        <v>348</v>
      </c>
      <c r="C14" s="231">
        <v>0</v>
      </c>
      <c r="D14" s="251" t="s">
        <v>328</v>
      </c>
      <c r="E14" s="123"/>
      <c r="F14" s="63"/>
      <c r="G14" s="64"/>
      <c r="I14" s="64"/>
      <c r="J14" s="64"/>
    </row>
    <row r="15" spans="1:10" ht="12.75">
      <c r="A15" s="64"/>
      <c r="B15" s="229" t="s">
        <v>316</v>
      </c>
      <c r="C15" s="234">
        <f>GlobalCode(ZmQ_out_g,Aparticle_g,Zparticle_g,ZmQ_in_g,Energy_g,Atarget_g,Ztarget_g,Thickness_g,Option_g,Fast_g)</f>
        <v>101.359</v>
      </c>
      <c r="D15" s="252"/>
      <c r="E15" s="248"/>
      <c r="F15" s="63"/>
      <c r="G15" s="64"/>
      <c r="H15" s="64"/>
      <c r="I15" s="64"/>
      <c r="J15" s="64"/>
    </row>
    <row r="16" spans="1:10" ht="12.75">
      <c r="A16" s="64"/>
      <c r="B16" s="64"/>
      <c r="C16" s="63"/>
      <c r="D16" s="64"/>
      <c r="E16" s="63"/>
      <c r="F16" s="63"/>
      <c r="G16" s="64"/>
      <c r="H16" s="64"/>
      <c r="I16" s="64"/>
      <c r="J16" s="64"/>
    </row>
    <row r="17" spans="1:10" ht="12.75">
      <c r="A17" s="64"/>
      <c r="B17" s="64" t="s">
        <v>345</v>
      </c>
      <c r="C17" s="63"/>
      <c r="D17" s="64"/>
      <c r="E17" s="63"/>
      <c r="F17" s="63"/>
      <c r="G17" s="64"/>
      <c r="H17" s="64"/>
      <c r="I17" s="64"/>
      <c r="J17" s="64"/>
    </row>
    <row r="18" spans="1:10" ht="12.75">
      <c r="A18" s="64"/>
      <c r="B18" s="64" t="s">
        <v>344</v>
      </c>
      <c r="C18" s="63"/>
      <c r="D18" s="64"/>
      <c r="E18" s="63"/>
      <c r="F18" s="63"/>
      <c r="G18" s="64"/>
      <c r="H18" s="64"/>
      <c r="I18" s="64"/>
      <c r="J18" s="64"/>
    </row>
    <row r="19" spans="1:10" ht="12.75">
      <c r="A19" s="64"/>
      <c r="B19" s="64"/>
      <c r="C19" s="63"/>
      <c r="D19" s="64"/>
      <c r="E19" s="63"/>
      <c r="F19" s="63"/>
      <c r="G19" s="64"/>
      <c r="H19" s="64"/>
      <c r="I19" s="64"/>
      <c r="J19" s="64"/>
    </row>
    <row r="20" spans="1:10" ht="12.75">
      <c r="A20" s="64"/>
      <c r="B20" s="305" t="s">
        <v>329</v>
      </c>
      <c r="C20" s="306"/>
      <c r="D20" s="235" t="s">
        <v>315</v>
      </c>
      <c r="E20" s="236" t="s">
        <v>332</v>
      </c>
      <c r="F20" s="237" t="s">
        <v>333</v>
      </c>
      <c r="G20" s="64"/>
      <c r="H20" s="64"/>
      <c r="I20" s="64"/>
      <c r="J20" s="64"/>
    </row>
    <row r="21" spans="1:10" ht="12.75">
      <c r="A21" s="64"/>
      <c r="B21" s="79" t="s">
        <v>349</v>
      </c>
      <c r="C21" s="232">
        <v>103</v>
      </c>
      <c r="D21" s="238">
        <f>GlobalCode(C21,Aparticle_g,Zparticle_g,ZmQ_in_g,Energy_g,Atarget_g,Ztarget_g,Thickness_g,Option_g,Fast_g)</f>
        <v>101.359</v>
      </c>
      <c r="E21" s="239" t="s">
        <v>351</v>
      </c>
      <c r="F21" s="240" t="s">
        <v>161</v>
      </c>
      <c r="G21" s="64"/>
      <c r="H21" s="64"/>
      <c r="I21" s="64"/>
      <c r="J21" s="64"/>
    </row>
    <row r="22" spans="1:10" ht="12.75">
      <c r="A22" s="64"/>
      <c r="B22" s="31" t="s">
        <v>349</v>
      </c>
      <c r="C22" s="227">
        <v>102</v>
      </c>
      <c r="D22" s="241">
        <f>GlobalCode(C22,Aparticle_g,Zparticle_g,ZmQ_in_g,Energy_g,Atarget_g,Ztarget_g,Thickness_g,Option_g,Fast_g)</f>
        <v>157.427</v>
      </c>
      <c r="E22" s="91" t="s">
        <v>317</v>
      </c>
      <c r="F22" s="109" t="s">
        <v>141</v>
      </c>
      <c r="G22" s="64"/>
      <c r="H22" s="64"/>
      <c r="I22" s="64"/>
      <c r="J22" s="64"/>
    </row>
    <row r="23" spans="1:10" ht="12.75">
      <c r="A23" s="64"/>
      <c r="B23" s="31" t="s">
        <v>349</v>
      </c>
      <c r="C23" s="227">
        <v>101</v>
      </c>
      <c r="D23" s="241">
        <f>GlobalCode(C23,Aparticle_g,Zparticle_g,ZmQ_in_g,Energy_g,Atarget_g,Ztarget_g,Thickness_g,Option_g,Fast_g)</f>
        <v>0.557</v>
      </c>
      <c r="E23" s="91" t="s">
        <v>319</v>
      </c>
      <c r="F23" s="109"/>
      <c r="G23" s="64"/>
      <c r="H23" s="64"/>
      <c r="I23" s="64"/>
      <c r="J23" s="64"/>
    </row>
    <row r="24" spans="1:10" ht="12.75">
      <c r="A24" s="64"/>
      <c r="B24" s="32" t="s">
        <v>349</v>
      </c>
      <c r="C24" s="228">
        <v>100</v>
      </c>
      <c r="D24" s="242">
        <f>GlobalCode(C24,Aparticle_g,Zparticle_g,ZmQ_in_g,Energy_g,Atarget_g,Ztarget_g,Thickness_g,Option_g,Fast_g)</f>
        <v>79.061</v>
      </c>
      <c r="E24" s="148" t="s">
        <v>318</v>
      </c>
      <c r="F24" s="123"/>
      <c r="G24" s="64"/>
      <c r="H24" s="64"/>
      <c r="I24" s="64"/>
      <c r="J24" s="64"/>
    </row>
    <row r="25" spans="1:10" ht="12.75">
      <c r="A25" s="64"/>
      <c r="B25" s="79" t="s">
        <v>349</v>
      </c>
      <c r="C25" s="232">
        <v>0</v>
      </c>
      <c r="D25" s="243">
        <f>GlobalCode(C25,Aparticle_g,Zparticle_g,ZmQ_in_g,Energy_g,Atarget_g,Ztarget_g,Thickness_g,Option_g,Fast_g)</f>
        <v>0.0085156</v>
      </c>
      <c r="E25" s="239" t="s">
        <v>320</v>
      </c>
      <c r="F25" s="240" t="s">
        <v>327</v>
      </c>
      <c r="G25" s="64"/>
      <c r="H25" s="64"/>
      <c r="I25" s="64"/>
      <c r="J25" s="64"/>
    </row>
    <row r="26" spans="1:10" ht="12.75">
      <c r="A26" s="64"/>
      <c r="B26" s="31" t="s">
        <v>349</v>
      </c>
      <c r="C26" s="227">
        <f aca="true" t="shared" si="0" ref="C26:C31">1+C25</f>
        <v>1</v>
      </c>
      <c r="D26" s="244">
        <f aca="true" t="shared" si="1" ref="D26:D32">GlobalCode(C26,Aparticle_g,Zparticle_g,ZmQ_in_g,Energy_g,Atarget_g,Ztarget_g,Thickness_g,Option_g,Fast_g)</f>
        <v>0.1556226</v>
      </c>
      <c r="E26" s="91" t="s">
        <v>321</v>
      </c>
      <c r="F26" s="109" t="s">
        <v>327</v>
      </c>
      <c r="G26" s="64"/>
      <c r="H26" s="64"/>
      <c r="I26" s="64"/>
      <c r="J26" s="64"/>
    </row>
    <row r="27" spans="1:10" ht="12.75">
      <c r="A27" s="64"/>
      <c r="B27" s="31" t="s">
        <v>349</v>
      </c>
      <c r="C27" s="227">
        <f t="shared" si="0"/>
        <v>2</v>
      </c>
      <c r="D27" s="244">
        <f t="shared" si="1"/>
        <v>0.7304073</v>
      </c>
      <c r="E27" s="91" t="s">
        <v>322</v>
      </c>
      <c r="F27" s="109" t="s">
        <v>327</v>
      </c>
      <c r="G27" s="64"/>
      <c r="H27" s="64"/>
      <c r="I27" s="64"/>
      <c r="J27" s="64"/>
    </row>
    <row r="28" spans="1:10" ht="12.75">
      <c r="A28" s="64"/>
      <c r="B28" s="31" t="s">
        <v>349</v>
      </c>
      <c r="C28" s="227">
        <f t="shared" si="0"/>
        <v>3</v>
      </c>
      <c r="D28" s="244">
        <f t="shared" si="1"/>
        <v>0.0994828</v>
      </c>
      <c r="E28" s="91" t="s">
        <v>324</v>
      </c>
      <c r="F28" s="109" t="s">
        <v>327</v>
      </c>
      <c r="G28" s="64"/>
      <c r="H28" s="64"/>
      <c r="I28" s="64"/>
      <c r="J28" s="64"/>
    </row>
    <row r="29" spans="1:10" ht="12.75">
      <c r="A29" s="64"/>
      <c r="B29" s="31" t="s">
        <v>349</v>
      </c>
      <c r="C29" s="227">
        <f t="shared" si="0"/>
        <v>4</v>
      </c>
      <c r="D29" s="244">
        <f t="shared" si="1"/>
        <v>0.0057834</v>
      </c>
      <c r="E29" s="91" t="s">
        <v>323</v>
      </c>
      <c r="F29" s="109" t="s">
        <v>327</v>
      </c>
      <c r="G29" s="64"/>
      <c r="H29" s="64"/>
      <c r="I29" s="64"/>
      <c r="J29" s="64"/>
    </row>
    <row r="30" spans="1:10" ht="12.75">
      <c r="A30" s="64"/>
      <c r="B30" s="31" t="s">
        <v>349</v>
      </c>
      <c r="C30" s="227">
        <f t="shared" si="0"/>
        <v>5</v>
      </c>
      <c r="D30" s="244">
        <f t="shared" si="1"/>
        <v>0.0001843</v>
      </c>
      <c r="E30" s="91" t="s">
        <v>325</v>
      </c>
      <c r="F30" s="109" t="s">
        <v>327</v>
      </c>
      <c r="G30" s="64"/>
      <c r="H30" s="64"/>
      <c r="I30" s="64"/>
      <c r="J30" s="64"/>
    </row>
    <row r="31" spans="1:10" ht="12.75">
      <c r="A31" s="64"/>
      <c r="B31" s="31" t="s">
        <v>349</v>
      </c>
      <c r="C31" s="227">
        <f t="shared" si="0"/>
        <v>6</v>
      </c>
      <c r="D31" s="244">
        <f t="shared" si="1"/>
        <v>3.5000000000000004E-06</v>
      </c>
      <c r="E31" s="91" t="s">
        <v>326</v>
      </c>
      <c r="F31" s="109" t="s">
        <v>327</v>
      </c>
      <c r="G31" s="64"/>
      <c r="H31" s="64"/>
      <c r="I31" s="64"/>
      <c r="J31" s="64"/>
    </row>
    <row r="32" spans="1:10" ht="12.75">
      <c r="A32" s="64"/>
      <c r="B32" s="32" t="s">
        <v>349</v>
      </c>
      <c r="C32" s="228">
        <v>27</v>
      </c>
      <c r="D32" s="245">
        <f t="shared" si="1"/>
        <v>0</v>
      </c>
      <c r="E32" s="148" t="s">
        <v>326</v>
      </c>
      <c r="F32" s="123" t="s">
        <v>327</v>
      </c>
      <c r="G32" s="64"/>
      <c r="H32" s="64"/>
      <c r="I32" s="64"/>
      <c r="J32" s="64"/>
    </row>
    <row r="33" spans="1:10" ht="12.75">
      <c r="A33" s="64"/>
      <c r="B33" s="64"/>
      <c r="C33" s="63"/>
      <c r="D33" s="246">
        <f>+SUM(D25:D32)</f>
        <v>0.9999995</v>
      </c>
      <c r="E33" s="63"/>
      <c r="F33" s="63"/>
      <c r="G33" s="64"/>
      <c r="H33" s="64"/>
      <c r="I33" s="64"/>
      <c r="J33" s="64"/>
    </row>
    <row r="34" spans="1:10" ht="12.75">
      <c r="A34" s="64"/>
      <c r="B34" s="64"/>
      <c r="C34" s="63"/>
      <c r="D34" s="64"/>
      <c r="E34" s="63"/>
      <c r="F34" s="63"/>
      <c r="G34" s="64"/>
      <c r="H34" s="64"/>
      <c r="I34" s="64"/>
      <c r="J34" s="64"/>
    </row>
    <row r="35" spans="1:10" ht="12.75">
      <c r="A35" s="64"/>
      <c r="B35" s="64"/>
      <c r="C35" s="63"/>
      <c r="D35" s="64"/>
      <c r="E35" s="63"/>
      <c r="F35" s="63"/>
      <c r="G35" s="64"/>
      <c r="H35" s="64"/>
      <c r="I35" s="64"/>
      <c r="J35" s="64"/>
    </row>
    <row r="36" spans="1:10" ht="12.75">
      <c r="A36" s="64"/>
      <c r="B36" s="64" t="s">
        <v>330</v>
      </c>
      <c r="C36" s="63"/>
      <c r="D36" s="64"/>
      <c r="E36" s="63"/>
      <c r="F36" s="63"/>
      <c r="G36" s="64"/>
      <c r="H36" s="64"/>
      <c r="I36" s="64"/>
      <c r="J36" s="64"/>
    </row>
    <row r="37" spans="1:10" ht="12.75">
      <c r="A37" s="64"/>
      <c r="B37" s="64" t="s">
        <v>331</v>
      </c>
      <c r="C37" s="63"/>
      <c r="D37" s="64"/>
      <c r="E37" s="63"/>
      <c r="F37" s="63"/>
      <c r="G37" s="64"/>
      <c r="H37" s="64"/>
      <c r="I37" s="64"/>
      <c r="J37" s="64"/>
    </row>
    <row r="38" spans="1:10" ht="12.75">
      <c r="A38" s="64"/>
      <c r="B38" s="64"/>
      <c r="C38" s="63"/>
      <c r="D38" s="64"/>
      <c r="E38" s="63"/>
      <c r="F38" s="63"/>
      <c r="G38" s="64"/>
      <c r="H38" s="64"/>
      <c r="I38" s="64"/>
      <c r="J38" s="64"/>
    </row>
  </sheetData>
  <sheetProtection password="CA15" sheet="1" objects="1" scenarios="1"/>
  <mergeCells count="2">
    <mergeCell ref="B4:C4"/>
    <mergeCell ref="B20:C20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E59"/>
  <sheetViews>
    <sheetView showGridLines="0" showRowColHeaders="0" workbookViewId="0" topLeftCell="A22">
      <selection activeCell="G32" sqref="G32"/>
    </sheetView>
  </sheetViews>
  <sheetFormatPr defaultColWidth="9.140625" defaultRowHeight="12.75"/>
  <cols>
    <col min="1" max="1" width="12.140625" style="0" customWidth="1"/>
  </cols>
  <sheetData>
    <row r="1" spans="1:3" ht="12.75">
      <c r="A1" s="253" t="s">
        <v>356</v>
      </c>
      <c r="B1" s="254">
        <v>82</v>
      </c>
      <c r="C1" s="255"/>
    </row>
    <row r="2" spans="1:3" ht="12.75">
      <c r="A2" s="256" t="s">
        <v>138</v>
      </c>
      <c r="B2" s="257">
        <v>70</v>
      </c>
      <c r="C2" s="258" t="s">
        <v>161</v>
      </c>
    </row>
    <row r="4" spans="1:5" ht="12.75">
      <c r="A4" s="265"/>
      <c r="B4" s="259" t="s">
        <v>357</v>
      </c>
      <c r="C4" s="259" t="s">
        <v>358</v>
      </c>
      <c r="D4" s="259" t="s">
        <v>359</v>
      </c>
      <c r="E4" s="260" t="s">
        <v>360</v>
      </c>
    </row>
    <row r="5" spans="1:5" s="264" customFormat="1" ht="12.75">
      <c r="A5" s="261" t="s">
        <v>361</v>
      </c>
      <c r="B5" s="262">
        <v>0</v>
      </c>
      <c r="C5" s="262">
        <v>1</v>
      </c>
      <c r="D5" s="262">
        <v>2</v>
      </c>
      <c r="E5" s="263">
        <v>3</v>
      </c>
    </row>
    <row r="6" spans="1:5" ht="12.75">
      <c r="A6" s="266">
        <v>4</v>
      </c>
      <c r="B6" s="267">
        <f>$A6-[0]!Charge_Qmean(energy,$A6,target,B$5)</f>
        <v>0</v>
      </c>
      <c r="C6" s="267">
        <f>$A6-[0]!Charge_Qmean(energy,$A6,target,C$5)</f>
        <v>0</v>
      </c>
      <c r="D6" s="267">
        <f>$A6-[0]!Charge_Qmean(energy,$A6,target,D$5)</f>
        <v>0</v>
      </c>
      <c r="E6" s="268">
        <f>$A6-[0]!Charge_Qmean(energy,$A6,target,E$5)</f>
        <v>0.0009999999999998899</v>
      </c>
    </row>
    <row r="7" spans="1:5" ht="12.75">
      <c r="A7" s="266">
        <f aca="true" t="shared" si="0" ref="A7:A29">4+A6</f>
        <v>8</v>
      </c>
      <c r="B7" s="267">
        <f>$A7-[0]!Charge_Qmean(energy,$A7,target,B$5)</f>
        <v>0</v>
      </c>
      <c r="C7" s="267">
        <f>$A7-[0]!Charge_Qmean(energy,$A7,target,C$5)</f>
        <v>0</v>
      </c>
      <c r="D7" s="267">
        <f>$A7-[0]!Charge_Qmean(energy,$A7,target,D$5)</f>
        <v>0</v>
      </c>
      <c r="E7" s="268">
        <f>$A7-[0]!Charge_Qmean(energy,$A7,target,E$5)</f>
        <v>0.001000000000000334</v>
      </c>
    </row>
    <row r="8" spans="1:5" ht="12.75">
      <c r="A8" s="266">
        <f t="shared" si="0"/>
        <v>12</v>
      </c>
      <c r="B8" s="267">
        <f>$A8-[0]!Charge_Qmean(energy,$A8,target,B$5)</f>
        <v>0.0009999999999994458</v>
      </c>
      <c r="C8" s="267">
        <f>$A8-[0]!Charge_Qmean(energy,$A8,target,C$5)</f>
        <v>0</v>
      </c>
      <c r="D8" s="267">
        <f>$A8-[0]!Charge_Qmean(energy,$A8,target,D$5)</f>
        <v>0</v>
      </c>
      <c r="E8" s="268">
        <f>$A8-[0]!Charge_Qmean(energy,$A8,target,E$5)</f>
        <v>0.0030000000000001137</v>
      </c>
    </row>
    <row r="9" spans="1:5" ht="12.75">
      <c r="A9" s="266">
        <f t="shared" si="0"/>
        <v>16</v>
      </c>
      <c r="B9" s="267">
        <f>$A9-[0]!Charge_Qmean(energy,$A9,target,B$5)</f>
        <v>0.0009999999999994458</v>
      </c>
      <c r="C9" s="267">
        <f>$A9-[0]!Charge_Qmean(energy,$A9,target,C$5)</f>
        <v>0.10899999999999999</v>
      </c>
      <c r="D9" s="267">
        <f>$A9-[0]!Charge_Qmean(energy,$A9,target,D$5)</f>
        <v>0</v>
      </c>
      <c r="E9" s="268">
        <f>$A9-[0]!Charge_Qmean(energy,$A9,target,E$5)</f>
        <v>0.01699999999999946</v>
      </c>
    </row>
    <row r="10" spans="1:5" ht="12.75">
      <c r="A10" s="266">
        <f t="shared" si="0"/>
        <v>20</v>
      </c>
      <c r="B10" s="267">
        <f>$A10-[0]!Charge_Qmean(energy,$A10,target,B$5)</f>
        <v>0.0070000000000014495</v>
      </c>
      <c r="C10" s="267">
        <f>$A10-[0]!Charge_Qmean(energy,$A10,target,C$5)</f>
        <v>0.2740000000000009</v>
      </c>
      <c r="D10" s="267">
        <f>$A10-[0]!Charge_Qmean(energy,$A10,target,D$5)</f>
        <v>0</v>
      </c>
      <c r="E10" s="268">
        <f>$A10-[0]!Charge_Qmean(energy,$A10,target,E$5)</f>
        <v>0.06299999999999883</v>
      </c>
    </row>
    <row r="11" spans="1:5" ht="12.75">
      <c r="A11" s="266">
        <f t="shared" si="0"/>
        <v>24</v>
      </c>
      <c r="B11" s="267">
        <f>$A11-[0]!Charge_Qmean(energy,$A11,target,B$5)</f>
        <v>0.07000000000000028</v>
      </c>
      <c r="C11" s="267">
        <f>$A11-[0]!Charge_Qmean(energy,$A11,target,C$5)</f>
        <v>0.46000000000000085</v>
      </c>
      <c r="D11" s="267">
        <f>$A11-[0]!Charge_Qmean(energy,$A11,target,D$5)</f>
        <v>0</v>
      </c>
      <c r="E11" s="268">
        <f>$A11-[0]!Charge_Qmean(energy,$A11,target,E$5)</f>
        <v>0.16900000000000048</v>
      </c>
    </row>
    <row r="12" spans="1:5" ht="12.75">
      <c r="A12" s="266">
        <f t="shared" si="0"/>
        <v>28</v>
      </c>
      <c r="B12" s="267">
        <f>$A12-[0]!Charge_Qmean(energy,$A12,target,B$5)</f>
        <v>0.21799999999999997</v>
      </c>
      <c r="C12" s="267">
        <f>$A12-[0]!Charge_Qmean(energy,$A12,target,C$5)</f>
        <v>0.6670000000000016</v>
      </c>
      <c r="D12" s="267">
        <f>$A12-[0]!Charge_Qmean(energy,$A12,target,D$5)</f>
        <v>0</v>
      </c>
      <c r="E12" s="268">
        <f>$A12-[0]!Charge_Qmean(energy,$A12,target,E$5)</f>
        <v>0.35300000000000153</v>
      </c>
    </row>
    <row r="13" spans="1:5" ht="12.75">
      <c r="A13" s="266">
        <f t="shared" si="0"/>
        <v>32</v>
      </c>
      <c r="B13" s="267">
        <f>$A13-[0]!Charge_Qmean(energy,$A13,target,B$5)</f>
        <v>0.4140000000000015</v>
      </c>
      <c r="C13" s="267">
        <f>$A13-[0]!Charge_Qmean(energy,$A13,target,C$5)</f>
        <v>0.8969999999999985</v>
      </c>
      <c r="D13" s="267">
        <f>$A13-[0]!Charge_Qmean(energy,$A13,target,D$5)</f>
        <v>0</v>
      </c>
      <c r="E13" s="268">
        <f>$A13-[0]!Charge_Qmean(energy,$A13,target,E$5)</f>
        <v>0.5949999999999989</v>
      </c>
    </row>
    <row r="14" spans="1:5" ht="12.75">
      <c r="A14" s="266">
        <f t="shared" si="0"/>
        <v>36</v>
      </c>
      <c r="B14" s="267">
        <f>$A14-[0]!Charge_Qmean(energy,$A14,target,B$5)</f>
        <v>0.6370000000000005</v>
      </c>
      <c r="C14" s="267">
        <f>$A14-[0]!Charge_Qmean(energy,$A14,target,C$5)</f>
        <v>1.1529999999999987</v>
      </c>
      <c r="D14" s="267">
        <f>$A14-[0]!Charge_Qmean(energy,$A14,target,D$5)</f>
        <v>0.15400000000000347</v>
      </c>
      <c r="E14" s="268">
        <f>$A14-[0]!Charge_Qmean(energy,$A14,target,E$5)</f>
        <v>0.8560000000000016</v>
      </c>
    </row>
    <row r="15" spans="1:5" ht="12.75">
      <c r="A15" s="266">
        <f t="shared" si="0"/>
        <v>40</v>
      </c>
      <c r="B15" s="267">
        <f>$A15-[0]!Charge_Qmean(energy,$A15,target,B$5)</f>
        <v>0.8890000000000029</v>
      </c>
      <c r="C15" s="267">
        <f>$A15-[0]!Charge_Qmean(energy,$A15,target,C$5)</f>
        <v>1.439</v>
      </c>
      <c r="D15" s="267">
        <f>$A15-[0]!Charge_Qmean(energy,$A15,target,D$5)</f>
        <v>0.4889999999999972</v>
      </c>
      <c r="E15" s="268">
        <f>$A15-[0]!Charge_Qmean(energy,$A15,target,E$5)</f>
        <v>1.1049999999999969</v>
      </c>
    </row>
    <row r="16" spans="1:5" ht="12.75">
      <c r="A16" s="266">
        <f t="shared" si="0"/>
        <v>44</v>
      </c>
      <c r="B16" s="267">
        <f>$A16-[0]!Charge_Qmean(energy,$A16,target,B$5)</f>
        <v>1.171999999999997</v>
      </c>
      <c r="C16" s="267">
        <f>$A16-[0]!Charge_Qmean(energy,$A16,target,C$5)</f>
        <v>1.7629999999999981</v>
      </c>
      <c r="D16" s="267">
        <f>$A16-[0]!Charge_Qmean(energy,$A16,target,D$5)</f>
        <v>0.8340000000000032</v>
      </c>
      <c r="E16" s="268">
        <f>$A16-[0]!Charge_Qmean(energy,$A16,target,E$5)</f>
        <v>1.3930000000000007</v>
      </c>
    </row>
    <row r="17" spans="1:5" ht="12.75">
      <c r="A17" s="266">
        <f t="shared" si="0"/>
        <v>48</v>
      </c>
      <c r="B17" s="267">
        <f>$A17-[0]!Charge_Qmean(energy,$A17,target,B$5)</f>
        <v>1.490000000000002</v>
      </c>
      <c r="C17" s="267">
        <f>$A17-[0]!Charge_Qmean(energy,$A17,target,C$5)</f>
        <v>2.128999999999998</v>
      </c>
      <c r="D17" s="267">
        <f>$A17-[0]!Charge_Qmean(energy,$A17,target,D$5)</f>
        <v>1.186</v>
      </c>
      <c r="E17" s="268">
        <f>$A17-[0]!Charge_Qmean(energy,$A17,target,E$5)</f>
        <v>1.6469999999999985</v>
      </c>
    </row>
    <row r="18" spans="1:5" ht="12.75">
      <c r="A18" s="266">
        <f t="shared" si="0"/>
        <v>52</v>
      </c>
      <c r="B18" s="267">
        <f>$A18-[0]!Charge_Qmean(energy,$A18,target,B$5)</f>
        <v>1.847999999999999</v>
      </c>
      <c r="C18" s="267">
        <f>$A18-[0]!Charge_Qmean(energy,$A18,target,C$5)</f>
        <v>2.546999999999997</v>
      </c>
      <c r="D18" s="267">
        <f>$A18-[0]!Charge_Qmean(energy,$A18,target,D$5)</f>
        <v>1.543999999999997</v>
      </c>
      <c r="E18" s="268">
        <f>$A18-[0]!Charge_Qmean(energy,$A18,target,E$5)</f>
        <v>1.8740000000000023</v>
      </c>
    </row>
    <row r="19" spans="1:5" ht="12.75">
      <c r="A19" s="266">
        <f t="shared" si="0"/>
        <v>56</v>
      </c>
      <c r="B19" s="267">
        <f>$A19-[0]!Charge_Qmean(energy,$A19,target,B$5)</f>
        <v>2.2439999999999998</v>
      </c>
      <c r="C19" s="267">
        <f>$A19-[0]!Charge_Qmean(energy,$A19,target,C$5)</f>
        <v>3.020000000000003</v>
      </c>
      <c r="D19" s="267">
        <f>$A19-[0]!Charge_Qmean(energy,$A19,target,D$5)</f>
        <v>1.9069999999999965</v>
      </c>
      <c r="E19" s="268">
        <f>$A19-[0]!Charge_Qmean(energy,$A19,target,E$5)</f>
        <v>2.0959999999999965</v>
      </c>
    </row>
    <row r="20" spans="1:5" ht="12.75">
      <c r="A20" s="266">
        <f t="shared" si="0"/>
        <v>60</v>
      </c>
      <c r="B20" s="267">
        <f>$A20-[0]!Charge_Qmean(energy,$A20,target,B$5)</f>
        <v>2.682000000000002</v>
      </c>
      <c r="C20" s="267">
        <f>$A20-[0]!Charge_Qmean(energy,$A20,target,C$5)</f>
        <v>3.5529999999999973</v>
      </c>
      <c r="D20" s="267">
        <f>$A20-[0]!Charge_Qmean(energy,$A20,target,D$5)</f>
        <v>2.2749999999999986</v>
      </c>
      <c r="E20" s="268">
        <f>$A20-[0]!Charge_Qmean(energy,$A20,target,E$5)</f>
        <v>2.3230000000000004</v>
      </c>
    </row>
    <row r="21" spans="1:5" ht="12.75">
      <c r="A21" s="266">
        <f t="shared" si="0"/>
        <v>64</v>
      </c>
      <c r="B21" s="267">
        <f>$A21-[0]!Charge_Qmean(energy,$A21,target,B$5)</f>
        <v>3.1599999999999966</v>
      </c>
      <c r="C21" s="267">
        <f>$A21-[0]!Charge_Qmean(energy,$A21,target,C$5)</f>
        <v>4.143999999999998</v>
      </c>
      <c r="D21" s="267">
        <f>$A21-[0]!Charge_Qmean(energy,$A21,target,D$5)</f>
        <v>2.6480000000000032</v>
      </c>
      <c r="E21" s="268">
        <f>$A21-[0]!Charge_Qmean(energy,$A21,target,E$5)</f>
        <v>2.567</v>
      </c>
    </row>
    <row r="22" spans="1:5" ht="12.75">
      <c r="A22" s="266">
        <f t="shared" si="0"/>
        <v>68</v>
      </c>
      <c r="B22" s="267">
        <f>$A22-[0]!Charge_Qmean(energy,$A22,target,B$5)</f>
        <v>3.6779999999999973</v>
      </c>
      <c r="C22" s="267">
        <f>$A22-[0]!Charge_Qmean(energy,$A22,target,C$5)</f>
        <v>4.784999999999997</v>
      </c>
      <c r="D22" s="267">
        <f>$A22-[0]!Charge_Qmean(energy,$A22,target,D$5)</f>
        <v>3.0250000000000057</v>
      </c>
      <c r="E22" s="268">
        <f>$A22-[0]!Charge_Qmean(energy,$A22,target,E$5)</f>
        <v>2.819999999999993</v>
      </c>
    </row>
    <row r="23" spans="1:5" ht="12.75">
      <c r="A23" s="266">
        <f t="shared" si="0"/>
        <v>72</v>
      </c>
      <c r="B23" s="267">
        <f>$A23-[0]!Charge_Qmean(energy,$A23,target,B$5)</f>
        <v>4.236999999999995</v>
      </c>
      <c r="C23" s="267">
        <f>$A23-[0]!Charge_Qmean(energy,$A23,target,C$5)</f>
        <v>5.462999999999994</v>
      </c>
      <c r="D23" s="267">
        <f>$A23-[0]!Charge_Qmean(energy,$A23,target,D$5)</f>
        <v>3.406000000000006</v>
      </c>
      <c r="E23" s="268">
        <f>$A23-[0]!Charge_Qmean(energy,$A23,target,E$5)</f>
        <v>3.0889999999999986</v>
      </c>
    </row>
    <row r="24" spans="1:5" ht="12.75">
      <c r="A24" s="266">
        <f t="shared" si="0"/>
        <v>76</v>
      </c>
      <c r="B24" s="267">
        <f>$A24-[0]!Charge_Qmean(energy,$A24,target,B$5)</f>
        <v>4.8359999999999985</v>
      </c>
      <c r="C24" s="267">
        <f>$A24-[0]!Charge_Qmean(energy,$A24,target,C$5)</f>
        <v>6.1569999999999965</v>
      </c>
      <c r="D24" s="267">
        <f>$A24-[0]!Charge_Qmean(energy,$A24,target,D$5)</f>
        <v>3.7920000000000016</v>
      </c>
      <c r="E24" s="268">
        <f>$A24-[0]!Charge_Qmean(energy,$A24,target,E$5)</f>
        <v>3.3970000000000056</v>
      </c>
    </row>
    <row r="25" spans="1:5" ht="12.75">
      <c r="A25" s="266">
        <f t="shared" si="0"/>
        <v>80</v>
      </c>
      <c r="B25" s="267">
        <f>$A25-[0]!Charge_Qmean(energy,$A25,target,B$5)</f>
        <v>5.474000000000004</v>
      </c>
      <c r="C25" s="267">
        <f>$A25-[0]!Charge_Qmean(energy,$A25,target,C$5)</f>
        <v>6.843999999999994</v>
      </c>
      <c r="D25" s="267">
        <f>$A25-[0]!Charge_Qmean(energy,$A25,target,D$5)</f>
        <v>4.1839999999999975</v>
      </c>
      <c r="E25" s="268">
        <f>$A25-[0]!Charge_Qmean(energy,$A25,target,E$5)</f>
        <v>3.753</v>
      </c>
    </row>
    <row r="26" spans="1:5" ht="12.75">
      <c r="A26" s="266">
        <f t="shared" si="0"/>
        <v>84</v>
      </c>
      <c r="B26" s="267">
        <f>$A26-[0]!Charge_Qmean(energy,$A26,target,B$5)</f>
        <v>6.152000000000001</v>
      </c>
      <c r="C26" s="267">
        <f>$A26-[0]!Charge_Qmean(energy,$A26,target,C$5)</f>
        <v>7.5</v>
      </c>
      <c r="D26" s="267">
        <f>$A26-[0]!Charge_Qmean(energy,$A26,target,D$5)</f>
        <v>4.581999999999994</v>
      </c>
      <c r="E26" s="268">
        <f>$A26-[0]!Charge_Qmean(energy,$A26,target,E$5)</f>
        <v>4.2890000000000015</v>
      </c>
    </row>
    <row r="27" spans="1:5" ht="12.75">
      <c r="A27" s="266">
        <f t="shared" si="0"/>
        <v>88</v>
      </c>
      <c r="B27" s="267">
        <f>$A27-[0]!Charge_Qmean(energy,$A27,target,B$5)</f>
        <v>6.867000000000004</v>
      </c>
      <c r="C27" s="267">
        <f>$A27-[0]!Charge_Qmean(energy,$A27,target,C$5)</f>
        <v>8.105000000000004</v>
      </c>
      <c r="D27" s="267">
        <f>$A27-[0]!Charge_Qmean(energy,$A27,target,D$5)</f>
        <v>4.986000000000004</v>
      </c>
      <c r="E27" s="268">
        <f>$A27-[0]!Charge_Qmean(energy,$A27,target,E$5)</f>
        <v>4.941999999999993</v>
      </c>
    </row>
    <row r="28" spans="1:5" ht="12.75">
      <c r="A28" s="266">
        <f t="shared" si="0"/>
        <v>92</v>
      </c>
      <c r="B28" s="267">
        <f>$A28-[0]!Charge_Qmean(energy,$A28,target,B$5)</f>
        <v>7.6200000000000045</v>
      </c>
      <c r="C28" s="267">
        <f>$A28-[0]!Charge_Qmean(energy,$A28,target,C$5)</f>
        <v>8.646</v>
      </c>
      <c r="D28" s="267">
        <f>$A28-[0]!Charge_Qmean(energy,$A28,target,D$5)</f>
        <v>5.399000000000001</v>
      </c>
      <c r="E28" s="268">
        <f>$A28-[0]!Charge_Qmean(energy,$A28,target,E$5)</f>
        <v>6.001999999999995</v>
      </c>
    </row>
    <row r="29" spans="1:5" ht="12.75">
      <c r="A29" s="269">
        <f t="shared" si="0"/>
        <v>96</v>
      </c>
      <c r="B29" s="270">
        <f>$A29-[0]!Charge_Qmean(energy,$A29,target,B$5)</f>
        <v>8.409999999999997</v>
      </c>
      <c r="C29" s="270">
        <f>$A29-[0]!Charge_Qmean(energy,$A29,target,C$5)</f>
        <v>9.119</v>
      </c>
      <c r="D29" s="270">
        <f>$A29-[0]!Charge_Qmean(energy,$A29,target,D$5)</f>
        <v>5.820999999999998</v>
      </c>
      <c r="E29" s="271">
        <f>$A29-[0]!Charge_Qmean(energy,$A29,target,E$5)</f>
        <v>6.757000000000005</v>
      </c>
    </row>
    <row r="31" spans="1:3" ht="12.75">
      <c r="A31" s="253" t="s">
        <v>363</v>
      </c>
      <c r="B31" s="254">
        <v>82</v>
      </c>
      <c r="C31" s="255"/>
    </row>
    <row r="32" spans="1:3" ht="12.75">
      <c r="A32" s="256" t="s">
        <v>364</v>
      </c>
      <c r="B32" s="257">
        <v>400</v>
      </c>
      <c r="C32" s="258" t="s">
        <v>161</v>
      </c>
    </row>
    <row r="34" spans="1:5" ht="12.75">
      <c r="A34" s="265"/>
      <c r="B34" s="259" t="s">
        <v>357</v>
      </c>
      <c r="C34" s="259" t="s">
        <v>358</v>
      </c>
      <c r="D34" s="259" t="s">
        <v>359</v>
      </c>
      <c r="E34" s="260" t="s">
        <v>360</v>
      </c>
    </row>
    <row r="35" spans="1:5" ht="12.75">
      <c r="A35" s="261" t="s">
        <v>362</v>
      </c>
      <c r="B35" s="262">
        <v>0</v>
      </c>
      <c r="C35" s="262">
        <v>1</v>
      </c>
      <c r="D35" s="262">
        <v>2</v>
      </c>
      <c r="E35" s="263">
        <v>3</v>
      </c>
    </row>
    <row r="36" spans="1:5" ht="12.75">
      <c r="A36" s="266">
        <v>4</v>
      </c>
      <c r="B36" s="267">
        <f>BeamZ-[0]!Charge_Qmean(Energy2,BeamZ,$A36,B$5)</f>
        <v>0.8739999999999952</v>
      </c>
      <c r="C36" s="267">
        <f>BeamZ-[0]!Charge_Qmean(Energy2,BeamZ,$A36,C$5)</f>
        <v>2.100999999999999</v>
      </c>
      <c r="D36" s="267">
        <f>BeamZ-[0]!Charge_Qmean(Energy2,BeamZ,$A36,D$5)</f>
        <v>0</v>
      </c>
      <c r="E36" s="268">
        <f>BeamZ-[0]!Charge_Qmean(Energy2,BeamZ,$A36,E$5)</f>
        <v>0.9770000000000039</v>
      </c>
    </row>
    <row r="37" spans="1:5" ht="12.75">
      <c r="A37" s="266">
        <v>6</v>
      </c>
      <c r="B37" s="267">
        <f>BeamZ-[0]!Charge_Qmean(Energy2,BeamZ,$A37,B$5)</f>
        <v>0.5699999999999932</v>
      </c>
      <c r="C37" s="267">
        <f>BeamZ-[0]!Charge_Qmean(Energy2,BeamZ,$A37,C$5)</f>
        <v>2.100999999999999</v>
      </c>
      <c r="D37" s="267">
        <f>BeamZ-[0]!Charge_Qmean(Energy2,BeamZ,$A37,D$5)</f>
        <v>0</v>
      </c>
      <c r="E37" s="268">
        <f>BeamZ-[0]!Charge_Qmean(Energy2,BeamZ,$A37,E$5)</f>
        <v>0.8100000000000023</v>
      </c>
    </row>
    <row r="38" spans="1:5" ht="12.75">
      <c r="A38" s="266">
        <v>13</v>
      </c>
      <c r="B38" s="267">
        <f>BeamZ-[0]!Charge_Qmean(Energy2,BeamZ,$A38,B$5)</f>
        <v>0.4749999999999943</v>
      </c>
      <c r="C38" s="267">
        <f>BeamZ-[0]!Charge_Qmean(Energy2,BeamZ,$A38,C$5)</f>
        <v>1.2759999999999962</v>
      </c>
      <c r="D38" s="267">
        <f>BeamZ-[0]!Charge_Qmean(Energy2,BeamZ,$A38,D$5)</f>
        <v>2.7930000000000064</v>
      </c>
      <c r="E38" s="268">
        <f>BeamZ-[0]!Charge_Qmean(Energy2,BeamZ,$A38,E$5)</f>
        <v>0.5109999999999957</v>
      </c>
    </row>
    <row r="39" spans="1:5" ht="12.75">
      <c r="A39" s="266">
        <v>14</v>
      </c>
      <c r="B39" s="267">
        <f>BeamZ-[0]!Charge_Qmean(Energy2,BeamZ,$A39,B$5)</f>
        <v>0.4759999999999991</v>
      </c>
      <c r="C39" s="267">
        <f>BeamZ-[0]!Charge_Qmean(Energy2,BeamZ,$A39,C$5)</f>
        <v>1.4549999999999983</v>
      </c>
      <c r="D39" s="267">
        <f>BeamZ-[0]!Charge_Qmean(Energy2,BeamZ,$A39,D$5)</f>
        <v>3.138999999999996</v>
      </c>
      <c r="E39" s="268">
        <f>BeamZ-[0]!Charge_Qmean(Energy2,BeamZ,$A39,E$5)</f>
        <v>0.48699999999999477</v>
      </c>
    </row>
    <row r="40" spans="1:5" ht="12.75">
      <c r="A40" s="266">
        <f>4+A39</f>
        <v>18</v>
      </c>
      <c r="B40" s="267">
        <f>BeamZ-[0]!Charge_Qmean(Energy2,BeamZ,$A40,B$5)</f>
        <v>0.48799999999999955</v>
      </c>
      <c r="C40" s="267">
        <f>BeamZ-[0]!Charge_Qmean(Energy2,BeamZ,$A40,C$5)</f>
        <v>2.120999999999995</v>
      </c>
      <c r="D40" s="267">
        <f>BeamZ-[0]!Charge_Qmean(Energy2,BeamZ,$A40,D$5)</f>
        <v>4.385000000000005</v>
      </c>
      <c r="E40" s="268">
        <f>BeamZ-[0]!Charge_Qmean(Energy2,BeamZ,$A40,E$5)</f>
        <v>0.39799999999999613</v>
      </c>
    </row>
    <row r="41" spans="1:5" ht="12.75">
      <c r="A41" s="266">
        <f>4+A40</f>
        <v>22</v>
      </c>
      <c r="B41" s="267">
        <f>BeamZ-[0]!Charge_Qmean(Energy2,BeamZ,$A41,B$5)</f>
        <v>0.5019999999999953</v>
      </c>
      <c r="C41" s="267">
        <f>BeamZ-[0]!Charge_Qmean(Energy2,BeamZ,$A41,C$5)</f>
        <v>2.5759999999999934</v>
      </c>
      <c r="D41" s="267">
        <f>BeamZ-[0]!Charge_Qmean(Energy2,BeamZ,$A41,D$5)</f>
        <v>5.417000000000002</v>
      </c>
      <c r="E41" s="268">
        <f>BeamZ-[0]!Charge_Qmean(Energy2,BeamZ,$A41,E$5)</f>
        <v>0.39400000000000546</v>
      </c>
    </row>
    <row r="42" spans="1:5" ht="12.75">
      <c r="A42" s="266">
        <v>28</v>
      </c>
      <c r="B42" s="267">
        <f>BeamZ-[0]!Charge_Qmean(Energy2,BeamZ,$A42,B$5)</f>
        <v>0.519999999999996</v>
      </c>
      <c r="C42" s="267">
        <f>BeamZ-[0]!Charge_Qmean(Energy2,BeamZ,$A42,C$5)</f>
        <v>2.932000000000002</v>
      </c>
      <c r="D42" s="267">
        <f>BeamZ-[0]!Charge_Qmean(Energy2,BeamZ,$A42,D$5)</f>
        <v>6.560000000000002</v>
      </c>
      <c r="E42" s="268">
        <f>BeamZ-[0]!Charge_Qmean(Energy2,BeamZ,$A42,E$5)</f>
        <v>0.40500000000000114</v>
      </c>
    </row>
    <row r="43" spans="1:5" ht="12.75">
      <c r="A43" s="266">
        <v>29</v>
      </c>
      <c r="B43" s="267">
        <f>BeamZ-[0]!Charge_Qmean(Energy2,BeamZ,$A43,B$5)</f>
        <v>0.5229999999999961</v>
      </c>
      <c r="C43" s="267">
        <f>BeamZ-[0]!Charge_Qmean(Energy2,BeamZ,$A43,C$5)</f>
        <v>2.965999999999994</v>
      </c>
      <c r="D43" s="267">
        <f>BeamZ-[0]!Charge_Qmean(Energy2,BeamZ,$A43,D$5)</f>
        <v>6.7039999999999935</v>
      </c>
      <c r="E43" s="268">
        <f>BeamZ-[0]!Charge_Qmean(Energy2,BeamZ,$A43,E$5)</f>
        <v>0.4099999999999966</v>
      </c>
    </row>
    <row r="44" spans="1:5" ht="12.75">
      <c r="A44" s="266">
        <v>32</v>
      </c>
      <c r="B44" s="267">
        <f>BeamZ-[0]!Charge_Qmean(Energy2,BeamZ,$A44,B$5)</f>
        <v>0.5300000000000011</v>
      </c>
      <c r="C44" s="267">
        <f>BeamZ-[0]!Charge_Qmean(Energy2,BeamZ,$A44,C$5)</f>
        <v>3.0420000000000016</v>
      </c>
      <c r="D44" s="267">
        <f>BeamZ-[0]!Charge_Qmean(Energy2,BeamZ,$A44,D$5)</f>
        <v>7.054000000000002</v>
      </c>
      <c r="E44" s="268">
        <f>BeamZ-[0]!Charge_Qmean(Energy2,BeamZ,$A44,E$5)</f>
        <v>0.4309999999999974</v>
      </c>
    </row>
    <row r="45" spans="1:5" ht="12.75">
      <c r="A45" s="266">
        <v>36</v>
      </c>
      <c r="B45" s="267">
        <f>BeamZ-[0]!Charge_Qmean(Energy2,BeamZ,$A45,B$5)</f>
        <v>0.5379999999999967</v>
      </c>
      <c r="C45" s="267">
        <f>BeamZ-[0]!Charge_Qmean(Energy2,BeamZ,$A45,C$5)</f>
        <v>3.102000000000004</v>
      </c>
      <c r="D45" s="267">
        <f>BeamZ-[0]!Charge_Qmean(Energy2,BeamZ,$A45,D$5)</f>
        <v>7.332999999999998</v>
      </c>
      <c r="E45" s="268">
        <f>BeamZ-[0]!Charge_Qmean(Energy2,BeamZ,$A45,E$5)</f>
        <v>0.5100000000000051</v>
      </c>
    </row>
    <row r="46" spans="1:5" ht="12.75">
      <c r="A46" s="266">
        <v>47</v>
      </c>
      <c r="B46" s="267">
        <f>BeamZ-[0]!Charge_Qmean(Energy2,BeamZ,$A46,B$5)</f>
        <v>0.5510000000000019</v>
      </c>
      <c r="C46" s="267">
        <f>BeamZ-[0]!Charge_Qmean(Energy2,BeamZ,$A46,C$5)</f>
        <v>3.1569999999999965</v>
      </c>
      <c r="D46" s="267">
        <f>BeamZ-[0]!Charge_Qmean(Energy2,BeamZ,$A46,D$5)</f>
        <v>6.989999999999995</v>
      </c>
      <c r="E46" s="268">
        <f>BeamZ-[0]!Charge_Qmean(Energy2,BeamZ,$A46,E$5)</f>
        <v>0.5729999999999933</v>
      </c>
    </row>
    <row r="47" spans="1:5" ht="12.75">
      <c r="A47" s="266">
        <v>54</v>
      </c>
      <c r="B47" s="267">
        <f>BeamZ-[0]!Charge_Qmean(Energy2,BeamZ,$A47,B$5)</f>
        <v>0.5550000000000068</v>
      </c>
      <c r="C47" s="267">
        <f>BeamZ-[0]!Charge_Qmean(Energy2,BeamZ,$A47,C$5)</f>
        <v>3.1650000000000063</v>
      </c>
      <c r="D47" s="267">
        <f>BeamZ-[0]!Charge_Qmean(Energy2,BeamZ,$A47,D$5)</f>
        <v>5.926000000000002</v>
      </c>
      <c r="E47" s="268">
        <f>BeamZ-[0]!Charge_Qmean(Energy2,BeamZ,$A47,E$5)</f>
        <v>0.703000000000003</v>
      </c>
    </row>
    <row r="48" spans="1:5" ht="12.75">
      <c r="A48" s="266">
        <v>63</v>
      </c>
      <c r="B48" s="267">
        <f>BeamZ-[0]!Charge_Qmean(Energy2,BeamZ,$A48,B$5)</f>
        <v>0.5570000000000022</v>
      </c>
      <c r="C48" s="267">
        <f>BeamZ-[0]!Charge_Qmean(Energy2,BeamZ,$A48,C$5)</f>
        <v>3.1680000000000064</v>
      </c>
      <c r="D48" s="267">
        <f>BeamZ-[0]!Charge_Qmean(Energy2,BeamZ,$A48,D$5)</f>
        <v>3.5889999999999986</v>
      </c>
      <c r="E48" s="268">
        <f>BeamZ-[0]!Charge_Qmean(Energy2,BeamZ,$A48,E$5)</f>
        <v>0.6979999999999933</v>
      </c>
    </row>
    <row r="49" spans="1:5" ht="12.75">
      <c r="A49" s="266">
        <v>73</v>
      </c>
      <c r="B49" s="267">
        <f>BeamZ-[0]!Charge_Qmean(Energy2,BeamZ,$A49,B$5)</f>
        <v>0.5550000000000068</v>
      </c>
      <c r="C49" s="267">
        <f>BeamZ-[0]!Charge_Qmean(Energy2,BeamZ,$A49,C$5)</f>
        <v>3.168999999999997</v>
      </c>
      <c r="D49" s="267">
        <f>BeamZ-[0]!Charge_Qmean(Energy2,BeamZ,$A49,D$5)</f>
        <v>0</v>
      </c>
      <c r="E49" s="268">
        <f>BeamZ-[0]!Charge_Qmean(Energy2,BeamZ,$A49,E$5)</f>
        <v>0.7319999999999993</v>
      </c>
    </row>
    <row r="50" spans="1:5" ht="12.75">
      <c r="A50" s="266">
        <v>74</v>
      </c>
      <c r="B50" s="267">
        <f>BeamZ-[0]!Charge_Qmean(Energy2,BeamZ,$A50,B$5)</f>
        <v>0.5550000000000068</v>
      </c>
      <c r="C50" s="267">
        <f>BeamZ-[0]!Charge_Qmean(Energy2,BeamZ,$A50,C$5)</f>
        <v>3.168999999999997</v>
      </c>
      <c r="D50" s="267">
        <f>BeamZ-[0]!Charge_Qmean(Energy2,BeamZ,$A50,D$5)</f>
        <v>0</v>
      </c>
      <c r="E50" s="268">
        <f>BeamZ-[0]!Charge_Qmean(Energy2,BeamZ,$A50,E$5)</f>
        <v>0.7339999999999947</v>
      </c>
    </row>
    <row r="51" spans="1:5" ht="12.75">
      <c r="A51" s="266">
        <v>79</v>
      </c>
      <c r="B51" s="267">
        <f>BeamZ-[0]!Charge_Qmean(Energy2,BeamZ,$A51,B$5)</f>
        <v>0.5529999999999973</v>
      </c>
      <c r="C51" s="267">
        <f>BeamZ-[0]!Charge_Qmean(Energy2,BeamZ,$A51,C$5)</f>
        <v>3.168999999999997</v>
      </c>
      <c r="D51" s="267">
        <f>BeamZ-[0]!Charge_Qmean(Energy2,BeamZ,$A51,D$5)</f>
        <v>0</v>
      </c>
      <c r="E51" s="268">
        <f>BeamZ-[0]!Charge_Qmean(Energy2,BeamZ,$A51,E$5)</f>
        <v>0.7360000000000042</v>
      </c>
    </row>
    <row r="52" spans="1:5" ht="12.75">
      <c r="A52" s="266">
        <v>82</v>
      </c>
      <c r="B52" s="267">
        <f>BeamZ-[0]!Charge_Qmean(Energy2,BeamZ,$A52,B$5)</f>
        <v>0.5520000000000067</v>
      </c>
      <c r="C52" s="267">
        <f>BeamZ-[0]!Charge_Qmean(Energy2,BeamZ,$A52,C$5)</f>
        <v>3.168999999999997</v>
      </c>
      <c r="D52" s="267">
        <f>BeamZ-[0]!Charge_Qmean(Energy2,BeamZ,$A52,D$5)</f>
        <v>0</v>
      </c>
      <c r="E52" s="268">
        <f>BeamZ-[0]!Charge_Qmean(Energy2,BeamZ,$A52,E$5)</f>
        <v>0.7330000000000041</v>
      </c>
    </row>
    <row r="53" spans="1:5" ht="12.75">
      <c r="A53" s="266">
        <v>92</v>
      </c>
      <c r="B53" s="267">
        <f>BeamZ-[0]!Charge_Qmean(Energy2,BeamZ,$A53,B$5)</f>
        <v>0.5460000000000065</v>
      </c>
      <c r="C53" s="267">
        <f>BeamZ-[0]!Charge_Qmean(Energy2,BeamZ,$A53,C$5)</f>
        <v>3.168999999999997</v>
      </c>
      <c r="D53" s="267">
        <f>BeamZ-[0]!Charge_Qmean(Energy2,BeamZ,$A53,D$5)</f>
        <v>0</v>
      </c>
      <c r="E53" s="268">
        <f>BeamZ-[0]!Charge_Qmean(Energy2,BeamZ,$A53,E$5)</f>
        <v>0.7930000000000064</v>
      </c>
    </row>
    <row r="54" spans="1:5" ht="12.75">
      <c r="A54" s="266"/>
      <c r="B54" s="267"/>
      <c r="C54" s="267"/>
      <c r="D54" s="267"/>
      <c r="E54" s="268"/>
    </row>
    <row r="55" spans="1:5" ht="12.75">
      <c r="A55" s="266"/>
      <c r="B55" s="267"/>
      <c r="C55" s="267"/>
      <c r="D55" s="267"/>
      <c r="E55" s="268"/>
    </row>
    <row r="56" spans="1:5" ht="12.75">
      <c r="A56" s="266"/>
      <c r="B56" s="267"/>
      <c r="C56" s="267"/>
      <c r="D56" s="267"/>
      <c r="E56" s="268"/>
    </row>
    <row r="57" spans="1:5" ht="12.75">
      <c r="A57" s="266"/>
      <c r="B57" s="267"/>
      <c r="C57" s="267"/>
      <c r="D57" s="267"/>
      <c r="E57" s="268"/>
    </row>
    <row r="58" spans="1:5" ht="12.75">
      <c r="A58" s="266"/>
      <c r="B58" s="267"/>
      <c r="C58" s="267"/>
      <c r="D58" s="267"/>
      <c r="E58" s="268"/>
    </row>
    <row r="59" spans="1:5" ht="12.75">
      <c r="A59" s="269"/>
      <c r="B59" s="270"/>
      <c r="C59" s="270"/>
      <c r="D59" s="270"/>
      <c r="E59" s="271"/>
    </row>
  </sheetData>
  <sheetProtection password="CA15"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24"/>
  <sheetViews>
    <sheetView showGridLines="0" showRowColHeaders="0" workbookViewId="0" topLeftCell="A1">
      <selection activeCell="C4" sqref="C4"/>
    </sheetView>
  </sheetViews>
  <sheetFormatPr defaultColWidth="9.140625" defaultRowHeight="12.75"/>
  <cols>
    <col min="1" max="1" width="11.421875" style="63" customWidth="1"/>
    <col min="2" max="2" width="9.7109375" style="63" customWidth="1"/>
    <col min="3" max="3" width="11.7109375" style="63" customWidth="1"/>
    <col min="4" max="4" width="11.00390625" style="64" customWidth="1"/>
    <col min="5" max="5" width="11.28125" style="64" customWidth="1"/>
    <col min="6" max="6" width="9.140625" style="64" customWidth="1"/>
    <col min="7" max="7" width="9.8515625" style="63" customWidth="1"/>
    <col min="8" max="8" width="8.8515625" style="64" customWidth="1"/>
    <col min="9" max="9" width="8.8515625" style="91" customWidth="1"/>
    <col min="10" max="10" width="9.8515625" style="64" customWidth="1"/>
    <col min="11" max="11" width="10.28125" style="64" customWidth="1"/>
    <col min="12" max="12" width="7.57421875" style="64" customWidth="1"/>
    <col min="13" max="13" width="8.7109375" style="64" customWidth="1"/>
    <col min="14" max="16384" width="9.140625" style="64" customWidth="1"/>
  </cols>
  <sheetData>
    <row r="1" spans="1:3" ht="12" customHeight="1" thickBot="1">
      <c r="A1" s="91"/>
      <c r="C1" s="64"/>
    </row>
    <row r="2" spans="1:9" ht="17.25" customHeight="1">
      <c r="A2" s="91"/>
      <c r="B2" s="85" t="s">
        <v>204</v>
      </c>
      <c r="C2" s="142">
        <v>3.4</v>
      </c>
      <c r="E2" s="143"/>
      <c r="F2" s="144"/>
      <c r="G2" s="313" t="s">
        <v>230</v>
      </c>
      <c r="H2" s="314"/>
      <c r="I2" s="145"/>
    </row>
    <row r="3" spans="1:9" ht="17.25" customHeight="1">
      <c r="A3" s="87"/>
      <c r="B3" s="92" t="s">
        <v>205</v>
      </c>
      <c r="C3" s="146">
        <v>3.4</v>
      </c>
      <c r="E3" s="147"/>
      <c r="F3" s="148"/>
      <c r="G3" s="149" t="s">
        <v>231</v>
      </c>
      <c r="H3" s="150" t="s">
        <v>232</v>
      </c>
      <c r="I3" s="151" t="s">
        <v>233</v>
      </c>
    </row>
    <row r="4" spans="1:9" ht="17.25" customHeight="1">
      <c r="A4" s="87"/>
      <c r="B4" s="64"/>
      <c r="E4" s="152" t="s">
        <v>234</v>
      </c>
      <c r="F4" s="153" t="s">
        <v>235</v>
      </c>
      <c r="G4" s="154">
        <f>+Brho2Energy(Brho1,A,Q1_)</f>
        <v>130.3069771217947</v>
      </c>
      <c r="H4" s="155">
        <f>+Brho2Energy(Brho2,A,Q2_)</f>
        <v>130.3069771217947</v>
      </c>
      <c r="I4" s="156">
        <f>+H4</f>
        <v>130.3069771217947</v>
      </c>
    </row>
    <row r="5" spans="2:9" s="157" customFormat="1" ht="17.25" customHeight="1">
      <c r="B5" s="318" t="str">
        <f>+C6&amp;Show_Element(Z)&amp;" "&amp;C8&amp;"+"&amp;C9&amp;"+"</f>
        <v>32S 16+16+</v>
      </c>
      <c r="C5" s="319"/>
      <c r="E5" s="152" t="s">
        <v>174</v>
      </c>
      <c r="F5" s="153"/>
      <c r="G5" s="158">
        <f>Energy2Beta(G4)</f>
        <v>0.47998370981062694</v>
      </c>
      <c r="H5" s="159">
        <f>Energy2Beta(H4)</f>
        <v>0.47998370981062694</v>
      </c>
      <c r="I5" s="160">
        <f>+H5</f>
        <v>0.47998370981062694</v>
      </c>
    </row>
    <row r="6" spans="1:9" ht="17.25" customHeight="1">
      <c r="A6" s="91"/>
      <c r="B6" s="161" t="s">
        <v>236</v>
      </c>
      <c r="C6" s="162">
        <v>32</v>
      </c>
      <c r="E6" s="152" t="s">
        <v>179</v>
      </c>
      <c r="F6" s="153"/>
      <c r="G6" s="158">
        <f>+Beta2Gamma(G5)</f>
        <v>1.1398903002093634</v>
      </c>
      <c r="H6" s="159">
        <f>+Beta2Gamma(H5)</f>
        <v>1.1398903002093634</v>
      </c>
      <c r="I6" s="160">
        <f>+H6</f>
        <v>1.1398903002093634</v>
      </c>
    </row>
    <row r="7" spans="1:9" ht="17.25" customHeight="1">
      <c r="A7" s="91"/>
      <c r="B7" s="161" t="s">
        <v>32</v>
      </c>
      <c r="C7" s="162">
        <v>16</v>
      </c>
      <c r="E7" s="152" t="s">
        <v>237</v>
      </c>
      <c r="F7" s="153" t="s">
        <v>221</v>
      </c>
      <c r="G7" s="154">
        <f>+length1/G5/c_speed</f>
        <v>121.5241996198618</v>
      </c>
      <c r="H7" s="155">
        <f>+length2/H5/c_speed</f>
        <v>125.05469792747297</v>
      </c>
      <c r="I7" s="156">
        <f>+H7+G7</f>
        <v>246.57889754733478</v>
      </c>
    </row>
    <row r="8" spans="1:9" ht="17.25" customHeight="1">
      <c r="A8" s="91"/>
      <c r="B8" s="161" t="s">
        <v>238</v>
      </c>
      <c r="C8" s="163">
        <f>+C7</f>
        <v>16</v>
      </c>
      <c r="E8" s="152" t="s">
        <v>239</v>
      </c>
      <c r="F8" s="153" t="s">
        <v>226</v>
      </c>
      <c r="G8" s="164">
        <f>+G4*A</f>
        <v>4169.82326789743</v>
      </c>
      <c r="H8" s="165">
        <f>+H4*A</f>
        <v>4169.82326789743</v>
      </c>
      <c r="I8" s="166">
        <f>+H8</f>
        <v>4169.82326789743</v>
      </c>
    </row>
    <row r="9" spans="1:9" ht="17.25" customHeight="1" thickBot="1">
      <c r="A9" s="91"/>
      <c r="B9" s="167" t="s">
        <v>240</v>
      </c>
      <c r="C9" s="168">
        <f>+Q1_</f>
        <v>16</v>
      </c>
      <c r="E9" s="169" t="s">
        <v>241</v>
      </c>
      <c r="F9" s="170" t="s">
        <v>242</v>
      </c>
      <c r="G9" s="171"/>
      <c r="H9" s="172"/>
      <c r="I9" s="173">
        <f>+Z/SQRT(B19/I10)</f>
        <v>7.611693732418273</v>
      </c>
    </row>
    <row r="10" spans="3:9" ht="14.25" customHeight="1" hidden="1">
      <c r="C10" s="64"/>
      <c r="E10" s="63" t="s">
        <v>243</v>
      </c>
      <c r="F10" s="63" t="s">
        <v>226</v>
      </c>
      <c r="I10" s="174">
        <f>-1+LN(5930/(1/I5/I5-1))/I5/I5</f>
        <v>31.474588422567223</v>
      </c>
    </row>
    <row r="11" s="87" customFormat="1" ht="14.25" customHeight="1">
      <c r="A11" s="175"/>
    </row>
    <row r="13" spans="1:10" ht="15.75" customHeight="1">
      <c r="A13" s="64"/>
      <c r="B13" s="64"/>
      <c r="C13" s="64"/>
      <c r="D13" s="310" t="s">
        <v>207</v>
      </c>
      <c r="E13" s="311"/>
      <c r="F13" s="311"/>
      <c r="G13" s="312"/>
      <c r="H13" s="315" t="s">
        <v>206</v>
      </c>
      <c r="I13" s="316"/>
      <c r="J13" s="317"/>
    </row>
    <row r="14" spans="1:10" ht="15.75" customHeight="1">
      <c r="A14" s="157"/>
      <c r="B14" s="308" t="s">
        <v>213</v>
      </c>
      <c r="C14" s="309"/>
      <c r="D14" s="100" t="s">
        <v>208</v>
      </c>
      <c r="E14" s="97" t="s">
        <v>211</v>
      </c>
      <c r="F14" s="98" t="s">
        <v>212</v>
      </c>
      <c r="G14" s="100" t="s">
        <v>210</v>
      </c>
      <c r="H14" s="94" t="s">
        <v>209</v>
      </c>
      <c r="I14" s="95" t="s">
        <v>210</v>
      </c>
      <c r="J14" s="96" t="s">
        <v>208</v>
      </c>
    </row>
    <row r="15" spans="1:10" ht="15.75" customHeight="1">
      <c r="A15" s="176" t="s">
        <v>220</v>
      </c>
      <c r="B15" s="111">
        <f>+I7</f>
        <v>246.57889754733478</v>
      </c>
      <c r="C15" s="112" t="s">
        <v>221</v>
      </c>
      <c r="D15" s="177">
        <f>+(B15-b_tof)/a_tof</f>
        <v>842.7125967736472</v>
      </c>
      <c r="E15" s="107">
        <v>0</v>
      </c>
      <c r="F15" s="108">
        <v>4095</v>
      </c>
      <c r="G15" s="178">
        <f aca="true" t="shared" si="0" ref="G15:G20">+F15-E15</f>
        <v>4095</v>
      </c>
      <c r="H15" s="107">
        <v>10</v>
      </c>
      <c r="I15" s="91">
        <f aca="true" t="shared" si="1" ref="I15:I20">2^H15</f>
        <v>1024</v>
      </c>
      <c r="J15" s="179">
        <f aca="true" t="shared" si="2" ref="J15:J20">+(D15-E15)/G15*I15</f>
        <v>210.7295968488925</v>
      </c>
    </row>
    <row r="16" spans="1:10" ht="15.75" customHeight="1">
      <c r="A16" s="180" t="s">
        <v>222</v>
      </c>
      <c r="B16" s="125">
        <f>+B15</f>
        <v>246.57889754733478</v>
      </c>
      <c r="C16" s="126" t="s">
        <v>221</v>
      </c>
      <c r="D16" s="181">
        <f>+(B16-b_tof-shift)/a_tof</f>
        <v>2590.3994682851444</v>
      </c>
      <c r="E16" s="121">
        <v>0</v>
      </c>
      <c r="F16" s="122">
        <v>4095</v>
      </c>
      <c r="G16" s="182">
        <f t="shared" si="0"/>
        <v>4095</v>
      </c>
      <c r="H16" s="107">
        <v>10</v>
      </c>
      <c r="I16" s="91">
        <f t="shared" si="1"/>
        <v>1024</v>
      </c>
      <c r="J16" s="179">
        <f t="shared" si="2"/>
        <v>647.758011116969</v>
      </c>
    </row>
    <row r="17" spans="1:10" ht="15.75" customHeight="1">
      <c r="A17" s="176" t="s">
        <v>223</v>
      </c>
      <c r="B17" s="111">
        <f>+B16</f>
        <v>246.57889754733478</v>
      </c>
      <c r="C17" s="112" t="s">
        <v>221</v>
      </c>
      <c r="D17" s="177">
        <f>+(B17-b_tof2)/a_tof2</f>
        <v>692.591967456146</v>
      </c>
      <c r="E17" s="107">
        <v>0</v>
      </c>
      <c r="F17" s="108">
        <v>4095</v>
      </c>
      <c r="G17" s="178">
        <f t="shared" si="0"/>
        <v>4095</v>
      </c>
      <c r="H17" s="107">
        <v>10</v>
      </c>
      <c r="I17" s="91">
        <f t="shared" si="1"/>
        <v>1024</v>
      </c>
      <c r="J17" s="179">
        <f t="shared" si="2"/>
        <v>173.19027464593248</v>
      </c>
    </row>
    <row r="18" spans="1:10" ht="15.75" customHeight="1">
      <c r="A18" s="180" t="s">
        <v>224</v>
      </c>
      <c r="B18" s="125">
        <f>+B17</f>
        <v>246.57889754733478</v>
      </c>
      <c r="C18" s="126" t="s">
        <v>221</v>
      </c>
      <c r="D18" s="181">
        <f>+(B18-b_tof2-shift2)/a_tof2</f>
        <v>2408.3903547081204</v>
      </c>
      <c r="E18" s="121">
        <v>0</v>
      </c>
      <c r="F18" s="122">
        <v>4095</v>
      </c>
      <c r="G18" s="182">
        <f t="shared" si="0"/>
        <v>4095</v>
      </c>
      <c r="H18" s="107">
        <v>10</v>
      </c>
      <c r="I18" s="91">
        <f t="shared" si="1"/>
        <v>1024</v>
      </c>
      <c r="J18" s="179">
        <f t="shared" si="2"/>
        <v>602.2446210552174</v>
      </c>
    </row>
    <row r="19" spans="1:10" ht="15.75" customHeight="1">
      <c r="A19" s="176" t="s">
        <v>225</v>
      </c>
      <c r="B19" s="111">
        <f>+(I4-EnergyLossInMatter(Z,A,I4,show_Z(Material_pin),Thickness_pin))*A</f>
        <v>139.07126789743006</v>
      </c>
      <c r="C19" s="112" t="s">
        <v>226</v>
      </c>
      <c r="D19" s="177">
        <f>+(B19-b_pin_de)/a_pin_de</f>
        <v>761.7405877945282</v>
      </c>
      <c r="E19" s="107">
        <v>0</v>
      </c>
      <c r="F19" s="108">
        <v>4095</v>
      </c>
      <c r="G19" s="178">
        <f t="shared" si="0"/>
        <v>4095</v>
      </c>
      <c r="H19" s="107">
        <v>10</v>
      </c>
      <c r="I19" s="91">
        <f t="shared" si="1"/>
        <v>1024</v>
      </c>
      <c r="J19" s="179">
        <f t="shared" si="2"/>
        <v>190.48165125802123</v>
      </c>
    </row>
    <row r="20" spans="1:10" ht="15.75" customHeight="1">
      <c r="A20" s="176" t="s">
        <v>227</v>
      </c>
      <c r="B20" s="183">
        <f>+I8-I7*relat_PPAC_dE</f>
        <v>3923.2443703500953</v>
      </c>
      <c r="C20" s="126" t="s">
        <v>226</v>
      </c>
      <c r="D20" s="181">
        <f>+(B20-b_sci_de)/a_sci_de</f>
        <v>1254.4236323337332</v>
      </c>
      <c r="E20" s="121">
        <v>0</v>
      </c>
      <c r="F20" s="122">
        <v>16383</v>
      </c>
      <c r="G20" s="182">
        <f t="shared" si="0"/>
        <v>16383</v>
      </c>
      <c r="H20" s="121">
        <v>10</v>
      </c>
      <c r="I20" s="148">
        <f t="shared" si="1"/>
        <v>1024</v>
      </c>
      <c r="J20" s="184">
        <f t="shared" si="2"/>
        <v>78.40626255934461</v>
      </c>
    </row>
    <row r="24" spans="1:2" ht="12.75">
      <c r="A24" s="307" t="s">
        <v>229</v>
      </c>
      <c r="B24" s="307"/>
    </row>
  </sheetData>
  <sheetProtection password="CA15" sheet="1" objects="1" scenarios="1"/>
  <mergeCells count="6">
    <mergeCell ref="A24:B24"/>
    <mergeCell ref="B14:C14"/>
    <mergeCell ref="D13:G13"/>
    <mergeCell ref="G2:H2"/>
    <mergeCell ref="H13:J13"/>
    <mergeCell ref="B5:C5"/>
  </mergeCells>
  <printOptions horizontalCentered="1"/>
  <pageMargins left="0.7480314960629921" right="0.7480314960629921" top="0.59" bottom="0.6" header="0.34" footer="0.5118110236220472"/>
  <pageSetup fitToHeight="1" fitToWidth="1" horizontalDpi="600" verticalDpi="600" orientation="landscape" r:id="rId1"/>
  <headerFooter alignWithMargins="0">
    <oddHeader>&amp;L&amp;D &amp;T&amp;C&amp;F 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7"/>
  <sheetViews>
    <sheetView showGridLines="0" showRowColHeaders="0" workbookViewId="0" topLeftCell="A1">
      <selection activeCell="F7" sqref="F7"/>
    </sheetView>
  </sheetViews>
  <sheetFormatPr defaultColWidth="9.140625" defaultRowHeight="12.75"/>
  <cols>
    <col min="1" max="1" width="9.140625" style="63" customWidth="1"/>
    <col min="2" max="2" width="9.7109375" style="63" customWidth="1"/>
    <col min="3" max="3" width="9.140625" style="63" customWidth="1"/>
    <col min="4" max="4" width="9.140625" style="64" customWidth="1"/>
    <col min="5" max="5" width="7.421875" style="64" customWidth="1"/>
    <col min="6" max="6" width="7.421875" style="87" customWidth="1"/>
    <col min="7" max="7" width="8.57421875" style="88" customWidth="1"/>
    <col min="8" max="8" width="12.421875" style="89" customWidth="1"/>
    <col min="9" max="9" width="10.8515625" style="88" customWidth="1"/>
    <col min="10" max="10" width="7.57421875" style="63" customWidth="1"/>
    <col min="11" max="11" width="9.140625" style="64" customWidth="1"/>
    <col min="12" max="12" width="6.57421875" style="90" hidden="1" customWidth="1"/>
    <col min="13" max="13" width="12.8515625" style="91" hidden="1" customWidth="1"/>
    <col min="14" max="14" width="8.57421875" style="91" hidden="1" customWidth="1"/>
    <col min="15" max="15" width="9.28125" style="91" customWidth="1"/>
    <col min="16" max="16" width="8.00390625" style="91" customWidth="1"/>
    <col min="17" max="17" width="9.57421875" style="91" customWidth="1"/>
    <col min="18" max="18" width="8.7109375" style="64" customWidth="1"/>
    <col min="19" max="19" width="8.7109375" style="87" customWidth="1"/>
    <col min="20" max="16384" width="9.140625" style="64" customWidth="1"/>
  </cols>
  <sheetData>
    <row r="1" spans="1:2" ht="12.75">
      <c r="A1" s="85" t="s">
        <v>204</v>
      </c>
      <c r="B1" s="86">
        <v>3.4</v>
      </c>
    </row>
    <row r="2" spans="1:2" ht="12.75">
      <c r="A2" s="92" t="s">
        <v>205</v>
      </c>
      <c r="B2" s="93">
        <f>+Brho1</f>
        <v>3.4</v>
      </c>
    </row>
    <row r="3" spans="1:17" ht="12.75">
      <c r="A3" s="64"/>
      <c r="B3" s="64"/>
      <c r="I3" s="64"/>
      <c r="J3" s="64"/>
      <c r="L3" s="64"/>
      <c r="M3" s="64"/>
      <c r="N3" s="64"/>
      <c r="O3" s="64"/>
      <c r="P3" s="64"/>
      <c r="Q3" s="64"/>
    </row>
    <row r="4" spans="1:17" ht="12.75">
      <c r="A4"/>
      <c r="B4" s="315" t="s">
        <v>206</v>
      </c>
      <c r="C4" s="316"/>
      <c r="D4" s="317"/>
      <c r="E4" s="310" t="s">
        <v>207</v>
      </c>
      <c r="F4" s="311"/>
      <c r="G4" s="311"/>
      <c r="H4" s="312"/>
      <c r="I4" s="64"/>
      <c r="J4" s="64"/>
      <c r="L4" s="64"/>
      <c r="M4" s="64"/>
      <c r="N4" s="64"/>
      <c r="O4" s="64"/>
      <c r="P4" s="64"/>
      <c r="Q4" s="64"/>
    </row>
    <row r="5" spans="1:19" s="102" customFormat="1" ht="12.75">
      <c r="A5"/>
      <c r="B5" s="94" t="s">
        <v>208</v>
      </c>
      <c r="C5" s="95" t="s">
        <v>209</v>
      </c>
      <c r="D5" s="96" t="s">
        <v>210</v>
      </c>
      <c r="E5" s="97" t="s">
        <v>211</v>
      </c>
      <c r="F5" s="98" t="s">
        <v>212</v>
      </c>
      <c r="G5" s="99" t="s">
        <v>210</v>
      </c>
      <c r="H5" s="100" t="s">
        <v>208</v>
      </c>
      <c r="I5" s="308" t="s">
        <v>213</v>
      </c>
      <c r="J5" s="309"/>
      <c r="K5" s="101" t="s">
        <v>174</v>
      </c>
      <c r="L5" s="102" t="s">
        <v>214</v>
      </c>
      <c r="M5" s="102" t="s">
        <v>215</v>
      </c>
      <c r="N5" s="102" t="s">
        <v>179</v>
      </c>
      <c r="O5" s="103" t="s">
        <v>216</v>
      </c>
      <c r="P5" s="94" t="s">
        <v>32</v>
      </c>
      <c r="Q5" s="96" t="s">
        <v>217</v>
      </c>
      <c r="R5" s="104" t="s">
        <v>218</v>
      </c>
      <c r="S5" s="105" t="s">
        <v>219</v>
      </c>
    </row>
    <row r="6" spans="1:19" ht="14.25" customHeight="1">
      <c r="A6" s="106" t="s">
        <v>220</v>
      </c>
      <c r="B6" s="107">
        <v>217.7</v>
      </c>
      <c r="C6" s="108">
        <v>10</v>
      </c>
      <c r="D6" s="109">
        <f aca="true" t="shared" si="0" ref="D6:D11">2^C6</f>
        <v>1024</v>
      </c>
      <c r="E6" s="107">
        <v>0</v>
      </c>
      <c r="F6" s="108">
        <v>4095</v>
      </c>
      <c r="G6" s="110">
        <f aca="true" t="shared" si="1" ref="G6:G11">+F6-E6</f>
        <v>4095</v>
      </c>
      <c r="H6" s="177">
        <f aca="true" t="shared" si="2" ref="H6:H11">+B6/D6*G6+E6</f>
        <v>870.58740234375</v>
      </c>
      <c r="I6" s="111">
        <f>a_tof*H6+b_tof</f>
        <v>245.89125574205542</v>
      </c>
      <c r="J6" s="112" t="s">
        <v>221</v>
      </c>
      <c r="K6" s="113">
        <f>+(length1*Brho2/Brho1+length2)/I6/c_speed</f>
        <v>0.4813259977408049</v>
      </c>
      <c r="L6" s="114">
        <f>+K6*K6</f>
        <v>0.23167471610118134</v>
      </c>
      <c r="M6" s="114">
        <f>-1+LN(5930/(1/L6-1))/L6</f>
        <v>31.32506649778007</v>
      </c>
      <c r="N6" s="114">
        <f>+Beta2Gamma(K6)</f>
        <v>1.1408470860120974</v>
      </c>
      <c r="O6" s="115">
        <f>+Brho2/3.1071/K6/N6</f>
        <v>1.99276886365766</v>
      </c>
      <c r="P6" s="116">
        <f>+a_z*SQRT(I$10/M6)+b_z</f>
        <v>27.99967820500018</v>
      </c>
      <c r="Q6" s="117">
        <f>+P6*O6</f>
        <v>55.79688691935836</v>
      </c>
      <c r="R6" s="118">
        <f>+TKE/(N6-1)/O6/aem</f>
        <v>17.52708936396402</v>
      </c>
      <c r="S6" s="119">
        <f>+R6*O6</f>
        <v>34.92743795505284</v>
      </c>
    </row>
    <row r="7" spans="1:19" ht="14.25" customHeight="1">
      <c r="A7" s="120" t="s">
        <v>222</v>
      </c>
      <c r="B7" s="121"/>
      <c r="C7" s="122">
        <v>10</v>
      </c>
      <c r="D7" s="123">
        <f t="shared" si="0"/>
        <v>1024</v>
      </c>
      <c r="E7" s="121">
        <v>0</v>
      </c>
      <c r="F7" s="122">
        <v>4095</v>
      </c>
      <c r="G7" s="124">
        <f t="shared" si="1"/>
        <v>4095</v>
      </c>
      <c r="H7" s="181">
        <f t="shared" si="2"/>
        <v>0</v>
      </c>
      <c r="I7" s="125">
        <f>a_tof*H7+b_tof+shift</f>
        <v>310.48129723534566</v>
      </c>
      <c r="J7" s="126" t="s">
        <v>221</v>
      </c>
      <c r="K7" s="113">
        <f>+(length1*Brho2/Brho1+length2)/I7/c_speed</f>
        <v>0.38119479356617</v>
      </c>
      <c r="L7" s="114">
        <f>+K7*K7</f>
        <v>0.14530947064195493</v>
      </c>
      <c r="M7" s="114">
        <f>-1+LN(5930/(1/L7-1))/L7</f>
        <v>46.594322382148725</v>
      </c>
      <c r="N7" s="114">
        <f>+Beta2Gamma(K7)</f>
        <v>1.0816719163094355</v>
      </c>
      <c r="O7" s="115">
        <f>+Brho2/3.1071/K7/Beta2Gamma(K7)</f>
        <v>2.653879327940184</v>
      </c>
      <c r="P7" s="116">
        <f>+a_z*SQRT(I$10/M7)+b_z</f>
        <v>22.961521435277742</v>
      </c>
      <c r="Q7" s="117">
        <f>+P7*O7</f>
        <v>60.937107075139025</v>
      </c>
      <c r="R7" s="118">
        <f>+TKE/(N7-1)/O7/aem</f>
        <v>22.696593465687947</v>
      </c>
      <c r="S7" s="119">
        <f>+R7*O7</f>
        <v>60.234020213251505</v>
      </c>
    </row>
    <row r="8" spans="1:19" ht="14.25" customHeight="1">
      <c r="A8" s="127" t="s">
        <v>223</v>
      </c>
      <c r="B8" s="107"/>
      <c r="C8" s="108">
        <v>10</v>
      </c>
      <c r="D8" s="109">
        <f t="shared" si="0"/>
        <v>1024</v>
      </c>
      <c r="E8" s="107">
        <v>0</v>
      </c>
      <c r="F8" s="108">
        <v>4095</v>
      </c>
      <c r="G8" s="110">
        <f t="shared" si="1"/>
        <v>4095</v>
      </c>
      <c r="H8" s="177">
        <f t="shared" si="2"/>
        <v>0</v>
      </c>
      <c r="I8" s="111">
        <f>a_tof2*H8+b_tof2</f>
        <v>263.9819425791</v>
      </c>
      <c r="J8" s="112" t="s">
        <v>221</v>
      </c>
      <c r="K8" s="113">
        <f>+(length1*Brho2/Brho1+length2)/I8/c_speed</f>
        <v>0.4483407192532515</v>
      </c>
      <c r="L8" s="114">
        <f>+K8*K8</f>
        <v>0.20100940054052285</v>
      </c>
      <c r="M8" s="114">
        <f>-1+LN(5930/(1/L8-1))/L8</f>
        <v>35.35542401424969</v>
      </c>
      <c r="N8" s="114">
        <f>+Beta2Gamma(K8)</f>
        <v>1.1187399969953276</v>
      </c>
      <c r="O8" s="115">
        <f>+Brho2/3.1071/K8/Beta2Gamma(K8)</f>
        <v>2.181656320994451</v>
      </c>
      <c r="P8" s="116">
        <f>+a_z*SQRT(I$10/M8)+b_z</f>
        <v>26.356659634817667</v>
      </c>
      <c r="Q8" s="117">
        <f>+P8*O8</f>
        <v>57.50117309259926</v>
      </c>
      <c r="R8" s="118">
        <f>+TKE/(N8-1)/O8/aem</f>
        <v>18.990273775448095</v>
      </c>
      <c r="S8" s="119">
        <f>+R8*O8</f>
        <v>41.43025081962149</v>
      </c>
    </row>
    <row r="9" spans="1:19" ht="14.25" customHeight="1">
      <c r="A9" s="120" t="s">
        <v>224</v>
      </c>
      <c r="B9" s="121"/>
      <c r="C9" s="122">
        <v>10</v>
      </c>
      <c r="D9" s="123">
        <f t="shared" si="0"/>
        <v>1024</v>
      </c>
      <c r="E9" s="121">
        <v>0</v>
      </c>
      <c r="F9" s="122">
        <v>4095</v>
      </c>
      <c r="G9" s="124">
        <f t="shared" si="1"/>
        <v>4095</v>
      </c>
      <c r="H9" s="181">
        <f t="shared" si="2"/>
        <v>0</v>
      </c>
      <c r="I9" s="125">
        <f>a_tof2*H9+b_tof2+shift</f>
        <v>307.0955188286931</v>
      </c>
      <c r="J9" s="126" t="s">
        <v>221</v>
      </c>
      <c r="K9" s="128">
        <f>+(length1*Brho2/Brho1+length2)/I9/c_speed</f>
        <v>0.3853975286165133</v>
      </c>
      <c r="L9" s="129">
        <f>+K9*K9</f>
        <v>0.14853125506371617</v>
      </c>
      <c r="M9" s="129">
        <f>-1+LN(5930/(1/L9-1))/L9</f>
        <v>45.73502626352436</v>
      </c>
      <c r="N9" s="129">
        <f>+Beta2Gamma(K9)</f>
        <v>1.0837163973435895</v>
      </c>
      <c r="O9" s="130">
        <f>+Brho2/3.1071/K9/Beta2Gamma(K9)</f>
        <v>2.6199868774633557</v>
      </c>
      <c r="P9" s="131">
        <f>+a_z*SQRT(I$10/M9)+b_z</f>
        <v>23.176037794946</v>
      </c>
      <c r="Q9" s="132">
        <f>+P9*O9</f>
        <v>60.72091489435329</v>
      </c>
      <c r="R9" s="133">
        <f>+TKE/(N9-1)/O9/aem</f>
        <v>22.428743765234746</v>
      </c>
      <c r="S9" s="134">
        <f>+R9*O9</f>
        <v>58.76301434290309</v>
      </c>
    </row>
    <row r="10" spans="1:19" ht="14.25" customHeight="1">
      <c r="A10" s="127" t="s">
        <v>225</v>
      </c>
      <c r="B10" s="107">
        <v>582.2</v>
      </c>
      <c r="C10" s="108">
        <v>10</v>
      </c>
      <c r="D10" s="109">
        <f t="shared" si="0"/>
        <v>1024</v>
      </c>
      <c r="E10" s="107">
        <v>0</v>
      </c>
      <c r="F10" s="108">
        <v>4095</v>
      </c>
      <c r="G10" s="110">
        <f t="shared" si="1"/>
        <v>4095</v>
      </c>
      <c r="H10" s="177">
        <f t="shared" si="2"/>
        <v>2328.2314453125</v>
      </c>
      <c r="I10" s="111">
        <f>+a_pin_de*H10+b_pin_de</f>
        <v>420.1367921362391</v>
      </c>
      <c r="J10" s="112" t="s">
        <v>226</v>
      </c>
      <c r="K10" s="91"/>
      <c r="L10" s="91"/>
      <c r="O10" s="135"/>
      <c r="Q10" s="136"/>
      <c r="S10" s="137"/>
    </row>
    <row r="11" spans="1:19" s="87" customFormat="1" ht="14.25" customHeight="1">
      <c r="A11" s="120" t="s">
        <v>227</v>
      </c>
      <c r="B11" s="121">
        <v>82.2</v>
      </c>
      <c r="C11" s="122">
        <v>10</v>
      </c>
      <c r="D11" s="123">
        <f t="shared" si="0"/>
        <v>1024</v>
      </c>
      <c r="E11" s="121">
        <v>0</v>
      </c>
      <c r="F11" s="122">
        <v>16383</v>
      </c>
      <c r="G11" s="124">
        <f t="shared" si="1"/>
        <v>16383</v>
      </c>
      <c r="H11" s="181">
        <f t="shared" si="2"/>
        <v>1315.1197265625</v>
      </c>
      <c r="I11" s="125">
        <f>+a_sci_de*H11+b_sci_de</f>
        <v>4162.261063160835</v>
      </c>
      <c r="J11" s="126" t="s">
        <v>226</v>
      </c>
      <c r="K11" s="91"/>
      <c r="L11" s="91"/>
      <c r="M11" s="91"/>
      <c r="N11" s="91"/>
      <c r="O11" s="138"/>
      <c r="P11" s="91"/>
      <c r="Q11" s="137"/>
      <c r="S11" s="137"/>
    </row>
    <row r="12" spans="1:17" ht="14.25" customHeight="1">
      <c r="A12" s="64"/>
      <c r="B12" s="64"/>
      <c r="C12" s="64"/>
      <c r="G12" s="64"/>
      <c r="H12" s="64"/>
      <c r="I12" s="87"/>
      <c r="J12" s="64"/>
      <c r="L12" s="64"/>
      <c r="M12" s="64"/>
      <c r="N12" s="64"/>
      <c r="O12" s="64"/>
      <c r="P12" s="64"/>
      <c r="Q12" s="64"/>
    </row>
    <row r="13" spans="1:17" ht="14.25" customHeight="1">
      <c r="A13" s="64"/>
      <c r="B13" s="64"/>
      <c r="C13" s="64"/>
      <c r="G13" s="64"/>
      <c r="H13" s="139" t="s">
        <v>228</v>
      </c>
      <c r="I13" s="140">
        <f>+I10*relat_PPAC_dE+I11</f>
        <v>4582.397855297074</v>
      </c>
      <c r="J13" s="141" t="s">
        <v>226</v>
      </c>
      <c r="L13" s="64"/>
      <c r="M13" s="64"/>
      <c r="N13" s="64"/>
      <c r="O13" s="64"/>
      <c r="P13" s="64"/>
      <c r="Q13" s="64"/>
    </row>
    <row r="16" spans="1:2" ht="12.75">
      <c r="A16" s="307" t="s">
        <v>229</v>
      </c>
      <c r="B16" s="307"/>
    </row>
    <row r="17" spans="1:2" ht="12.75">
      <c r="A17"/>
      <c r="B17"/>
    </row>
  </sheetData>
  <sheetProtection password="CA15" sheet="1" objects="1" scenarios="1"/>
  <mergeCells count="4">
    <mergeCell ref="A16:B16"/>
    <mergeCell ref="I5:J5"/>
    <mergeCell ref="B4:D4"/>
    <mergeCell ref="E4:H4"/>
  </mergeCells>
  <printOptions horizontalCentered="1"/>
  <pageMargins left="0.7480314960629921" right="0.7480314960629921" top="0.59" bottom="0.6" header="0.34" footer="0.5118110236220472"/>
  <pageSetup fitToHeight="1" fitToWidth="1" horizontalDpi="600" verticalDpi="600" orientation="landscape" scale="85" r:id="rId1"/>
  <headerFooter alignWithMargins="0">
    <oddHeader>&amp;L&amp;D &amp;T&amp;C&amp;F 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G29"/>
  <sheetViews>
    <sheetView showGridLines="0" showRowColHeaders="0" workbookViewId="0" topLeftCell="A1">
      <selection activeCell="B30" sqref="B30"/>
    </sheetView>
  </sheetViews>
  <sheetFormatPr defaultColWidth="9.140625" defaultRowHeight="12.75"/>
  <cols>
    <col min="1" max="1" width="17.7109375" style="196" customWidth="1"/>
    <col min="2" max="2" width="10.57421875" style="64" customWidth="1"/>
    <col min="3" max="3" width="9.140625" style="64" customWidth="1"/>
    <col min="4" max="4" width="9.57421875" style="64" bestFit="1" customWidth="1"/>
    <col min="5" max="5" width="14.7109375" style="64" customWidth="1"/>
    <col min="6" max="6" width="12.421875" style="64" customWidth="1"/>
    <col min="7" max="7" width="12.421875" style="64" bestFit="1" customWidth="1"/>
    <col min="8" max="16384" width="9.140625" style="64" customWidth="1"/>
  </cols>
  <sheetData>
    <row r="1" spans="1:7" s="87" customFormat="1" ht="13.5" thickBot="1">
      <c r="A1" s="320" t="s">
        <v>244</v>
      </c>
      <c r="B1" s="321"/>
      <c r="C1" s="322"/>
      <c r="E1" s="320" t="s">
        <v>245</v>
      </c>
      <c r="F1" s="321"/>
      <c r="G1" s="322"/>
    </row>
    <row r="2" spans="1:7" ht="13.5" thickTop="1">
      <c r="A2" s="185" t="s">
        <v>246</v>
      </c>
      <c r="B2" s="186">
        <v>-0.0246689363823544</v>
      </c>
      <c r="C2" s="187" t="s">
        <v>247</v>
      </c>
      <c r="E2" s="185" t="s">
        <v>248</v>
      </c>
      <c r="F2" s="186">
        <v>-0.02512741390242469</v>
      </c>
      <c r="G2" s="187" t="s">
        <v>247</v>
      </c>
    </row>
    <row r="3" spans="1:7" ht="12.75">
      <c r="A3" s="185" t="s">
        <v>249</v>
      </c>
      <c r="B3" s="188">
        <v>267.36772098575256</v>
      </c>
      <c r="C3" s="187" t="s">
        <v>221</v>
      </c>
      <c r="E3" s="185" t="s">
        <v>250</v>
      </c>
      <c r="F3" s="188">
        <v>263.9819425791</v>
      </c>
      <c r="G3" s="187" t="s">
        <v>221</v>
      </c>
    </row>
    <row r="4" spans="1:7" ht="12.75">
      <c r="A4" s="189" t="s">
        <v>251</v>
      </c>
      <c r="B4" s="190">
        <f>+shift_calc</f>
        <v>43.113576249593116</v>
      </c>
      <c r="C4" s="191" t="s">
        <v>221</v>
      </c>
      <c r="E4" s="189" t="s">
        <v>252</v>
      </c>
      <c r="F4" s="190">
        <f>+shift_calc</f>
        <v>43.113576249593116</v>
      </c>
      <c r="G4" s="191" t="s">
        <v>221</v>
      </c>
    </row>
    <row r="7" spans="1:7" s="87" customFormat="1" ht="13.5" thickBot="1">
      <c r="A7" s="320" t="s">
        <v>253</v>
      </c>
      <c r="B7" s="321"/>
      <c r="C7" s="322"/>
      <c r="E7" s="320" t="s">
        <v>254</v>
      </c>
      <c r="F7" s="321"/>
      <c r="G7" s="322"/>
    </row>
    <row r="8" spans="1:7" ht="13.5" thickTop="1">
      <c r="A8" s="185" t="s">
        <v>255</v>
      </c>
      <c r="B8" s="192">
        <v>0.17942366078289382</v>
      </c>
      <c r="C8" s="187" t="s">
        <v>256</v>
      </c>
      <c r="E8" s="185" t="s">
        <v>257</v>
      </c>
      <c r="F8" s="186">
        <v>3.9379254274562006</v>
      </c>
      <c r="G8" s="187" t="s">
        <v>256</v>
      </c>
    </row>
    <row r="9" spans="1:7" ht="12.75">
      <c r="A9" s="189" t="s">
        <v>258</v>
      </c>
      <c r="B9" s="193">
        <v>2.396983068422482</v>
      </c>
      <c r="C9" s="191" t="s">
        <v>226</v>
      </c>
      <c r="E9" s="189" t="s">
        <v>259</v>
      </c>
      <c r="F9" s="194">
        <v>-1016.5823482188802</v>
      </c>
      <c r="G9" s="191" t="s">
        <v>226</v>
      </c>
    </row>
    <row r="10" spans="1:3" ht="12.75">
      <c r="A10" s="185" t="s">
        <v>260</v>
      </c>
      <c r="B10" s="192" t="s">
        <v>47</v>
      </c>
      <c r="C10" s="187"/>
    </row>
    <row r="11" spans="1:3" ht="12.75">
      <c r="A11" s="189" t="s">
        <v>261</v>
      </c>
      <c r="B11" s="195">
        <v>109.96</v>
      </c>
      <c r="C11" s="191" t="s">
        <v>141</v>
      </c>
    </row>
    <row r="12" spans="5:7" ht="17.25" customHeight="1" thickBot="1">
      <c r="E12" s="320" t="s">
        <v>262</v>
      </c>
      <c r="F12" s="321"/>
      <c r="G12" s="322"/>
    </row>
    <row r="13" spans="5:7" ht="13.5" thickTop="1">
      <c r="E13" s="185" t="s">
        <v>263</v>
      </c>
      <c r="F13" s="197">
        <v>23.19455</v>
      </c>
      <c r="G13" s="187" t="s">
        <v>8</v>
      </c>
    </row>
    <row r="14" spans="1:7" ht="13.5" thickBot="1">
      <c r="A14" s="320" t="s">
        <v>264</v>
      </c>
      <c r="B14" s="321"/>
      <c r="C14" s="322"/>
      <c r="E14" s="185" t="s">
        <v>265</v>
      </c>
      <c r="F14" s="198">
        <f>1/HF/1000000/0.000000001</f>
        <v>43.113576249593116</v>
      </c>
      <c r="G14" s="187" t="s">
        <v>221</v>
      </c>
    </row>
    <row r="15" spans="1:7" ht="13.5" thickTop="1">
      <c r="A15" s="185" t="s">
        <v>266</v>
      </c>
      <c r="B15" s="186">
        <v>7.64</v>
      </c>
      <c r="C15" s="187"/>
      <c r="E15" s="185"/>
      <c r="F15" s="198"/>
      <c r="G15" s="187"/>
    </row>
    <row r="16" spans="1:7" ht="12.75">
      <c r="A16" s="189" t="s">
        <v>267</v>
      </c>
      <c r="B16" s="199">
        <v>0.02</v>
      </c>
      <c r="C16" s="191"/>
      <c r="E16" s="185" t="s">
        <v>268</v>
      </c>
      <c r="F16" s="197">
        <v>17.486</v>
      </c>
      <c r="G16" s="187" t="s">
        <v>269</v>
      </c>
    </row>
    <row r="17" spans="5:7" ht="12.75">
      <c r="E17" s="185" t="s">
        <v>270</v>
      </c>
      <c r="F17" s="197">
        <f>35.48-F16</f>
        <v>17.993999999999996</v>
      </c>
      <c r="G17" s="187" t="s">
        <v>269</v>
      </c>
    </row>
    <row r="18" spans="5:7" ht="12.75">
      <c r="E18" s="185"/>
      <c r="F18" s="200"/>
      <c r="G18" s="187"/>
    </row>
    <row r="19" spans="1:7" ht="12.75">
      <c r="A19" s="64"/>
      <c r="E19" s="185" t="s">
        <v>271</v>
      </c>
      <c r="F19" s="198">
        <v>3.1</v>
      </c>
      <c r="G19" s="187" t="s">
        <v>269</v>
      </c>
    </row>
    <row r="20" spans="1:7" ht="12.75">
      <c r="A20" s="64"/>
      <c r="E20" s="185" t="s">
        <v>272</v>
      </c>
      <c r="F20" s="201">
        <v>57.9353</v>
      </c>
      <c r="G20" s="187" t="s">
        <v>273</v>
      </c>
    </row>
    <row r="21" spans="5:7" ht="12.75">
      <c r="E21" s="185" t="s">
        <v>274</v>
      </c>
      <c r="F21" s="197">
        <v>1</v>
      </c>
      <c r="G21" s="187"/>
    </row>
    <row r="22" spans="5:7" ht="12.75">
      <c r="E22" s="185" t="s">
        <v>275</v>
      </c>
      <c r="F22" s="198">
        <v>0.299779</v>
      </c>
      <c r="G22" s="187" t="s">
        <v>276</v>
      </c>
    </row>
    <row r="23" spans="5:7" ht="12.75">
      <c r="E23" s="185" t="s">
        <v>277</v>
      </c>
      <c r="F23" s="198">
        <v>931.49</v>
      </c>
      <c r="G23" s="187"/>
    </row>
    <row r="24" spans="5:7" ht="12.75">
      <c r="E24" s="185"/>
      <c r="F24" s="200"/>
      <c r="G24" s="187"/>
    </row>
    <row r="25" spans="1:7" ht="12.75">
      <c r="A25" s="63" t="s">
        <v>278</v>
      </c>
      <c r="E25" s="185" t="s">
        <v>279</v>
      </c>
      <c r="F25" s="197">
        <v>1</v>
      </c>
      <c r="G25" s="187"/>
    </row>
    <row r="26" spans="1:7" ht="12.75">
      <c r="A26" s="202" t="s">
        <v>280</v>
      </c>
      <c r="E26" s="185" t="s">
        <v>281</v>
      </c>
      <c r="F26" s="197">
        <v>0</v>
      </c>
      <c r="G26" s="187"/>
    </row>
    <row r="27" spans="1:7" ht="12.75">
      <c r="A27" s="203" t="s">
        <v>282</v>
      </c>
      <c r="E27" s="185"/>
      <c r="F27" s="200"/>
      <c r="G27" s="187"/>
    </row>
    <row r="28" spans="5:7" ht="12.75">
      <c r="E28" s="185" t="s">
        <v>283</v>
      </c>
      <c r="F28" s="204">
        <f>1/dispersion/100</f>
        <v>0.0001691309039370292</v>
      </c>
      <c r="G28" s="187"/>
    </row>
    <row r="29" spans="5:7" ht="12.75">
      <c r="E29" s="189" t="s">
        <v>284</v>
      </c>
      <c r="F29" s="199">
        <v>59.1258</v>
      </c>
      <c r="G29" s="191" t="s">
        <v>285</v>
      </c>
    </row>
  </sheetData>
  <sheetProtection password="CA15" sheet="1" objects="1" scenarios="1"/>
  <mergeCells count="6">
    <mergeCell ref="A14:C14"/>
    <mergeCell ref="E12:G12"/>
    <mergeCell ref="A1:C1"/>
    <mergeCell ref="E1:G1"/>
    <mergeCell ref="A7:C7"/>
    <mergeCell ref="E7:G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r:id="rId1"/>
  <headerFooter alignWithMargins="0">
    <oddHeader>&amp;L&amp;D &amp;T&amp;C&amp;F&amp;R&amp;A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data"/>
  <dimension ref="A1:O153"/>
  <sheetViews>
    <sheetView zoomScale="75" zoomScaleNormal="75" workbookViewId="0" topLeftCell="A1">
      <selection activeCell="L31" sqref="L31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12.421875" style="4" customWidth="1"/>
    <col min="4" max="4" width="8.8515625" style="4" customWidth="1"/>
    <col min="5" max="5" width="3.57421875" style="0" customWidth="1"/>
    <col min="6" max="6" width="4.7109375" style="11" customWidth="1"/>
    <col min="7" max="7" width="7.28125" style="15" customWidth="1"/>
    <col min="8" max="9" width="8.8515625" style="14" customWidth="1"/>
    <col min="10" max="10" width="5.00390625" style="14" customWidth="1"/>
    <col min="11" max="11" width="6.140625" style="14" customWidth="1"/>
    <col min="12" max="12" width="8.8515625" style="14" customWidth="1"/>
    <col min="13" max="13" width="24.7109375" style="14" customWidth="1"/>
    <col min="14" max="14" width="8.8515625" style="14" customWidth="1"/>
  </cols>
  <sheetData>
    <row r="1" spans="1:14" s="1" customFormat="1" ht="12.75">
      <c r="A1" s="1" t="s">
        <v>32</v>
      </c>
      <c r="B1" s="2" t="s">
        <v>5</v>
      </c>
      <c r="C1" s="2" t="s">
        <v>33</v>
      </c>
      <c r="D1" s="2" t="s">
        <v>34</v>
      </c>
      <c r="F1" s="7" t="s">
        <v>0</v>
      </c>
      <c r="G1" s="8" t="s">
        <v>1</v>
      </c>
      <c r="H1" s="7" t="s">
        <v>2</v>
      </c>
      <c r="I1" s="7" t="s">
        <v>3</v>
      </c>
      <c r="J1" s="7"/>
      <c r="K1" s="16" t="s">
        <v>4</v>
      </c>
      <c r="L1" s="16" t="s">
        <v>5</v>
      </c>
      <c r="M1" s="16" t="s">
        <v>6</v>
      </c>
      <c r="N1" s="16" t="s">
        <v>7</v>
      </c>
    </row>
    <row r="2" spans="1:14" ht="12.75">
      <c r="A2" s="3">
        <v>1</v>
      </c>
      <c r="B2" s="3" t="s">
        <v>35</v>
      </c>
      <c r="C2" s="4">
        <v>1.00797</v>
      </c>
      <c r="D2" s="4">
        <v>0.071</v>
      </c>
      <c r="F2" s="9"/>
      <c r="G2" s="10"/>
      <c r="H2" s="9" t="s">
        <v>8</v>
      </c>
      <c r="I2" s="9" t="s">
        <v>9</v>
      </c>
      <c r="J2" s="9"/>
      <c r="K2" s="3">
        <v>1</v>
      </c>
      <c r="L2" s="3" t="s">
        <v>10</v>
      </c>
      <c r="M2">
        <v>-2.584</v>
      </c>
      <c r="N2" s="17">
        <v>-2.584</v>
      </c>
    </row>
    <row r="3" spans="1:14" ht="12.75">
      <c r="A3" s="3">
        <f aca="true" t="shared" si="0" ref="A3:A34">1+A2</f>
        <v>2</v>
      </c>
      <c r="B3" s="3" t="s">
        <v>36</v>
      </c>
      <c r="C3" s="4">
        <v>4.0026</v>
      </c>
      <c r="D3" s="4">
        <v>0.126</v>
      </c>
      <c r="F3" s="11">
        <v>1</v>
      </c>
      <c r="G3" s="12">
        <v>2</v>
      </c>
      <c r="H3" s="13">
        <v>22.081</v>
      </c>
      <c r="I3" s="13">
        <v>1.448</v>
      </c>
      <c r="K3" s="3">
        <v>2</v>
      </c>
      <c r="L3" s="3" t="s">
        <v>11</v>
      </c>
      <c r="M3">
        <v>-0.00757</v>
      </c>
      <c r="N3" s="17">
        <v>-0.00757</v>
      </c>
    </row>
    <row r="4" spans="1:14" ht="12.75">
      <c r="A4" s="3">
        <f t="shared" si="0"/>
        <v>3</v>
      </c>
      <c r="B4" s="3" t="s">
        <v>37</v>
      </c>
      <c r="C4" s="4">
        <v>6.939</v>
      </c>
      <c r="D4" s="4">
        <v>0.53</v>
      </c>
      <c r="F4" s="11">
        <v>2</v>
      </c>
      <c r="G4" s="12">
        <v>2.02</v>
      </c>
      <c r="H4" s="13">
        <v>21.962</v>
      </c>
      <c r="I4" s="13">
        <v>1.455</v>
      </c>
      <c r="K4" s="3">
        <v>3</v>
      </c>
      <c r="L4" s="3" t="s">
        <v>12</v>
      </c>
      <c r="M4">
        <v>0.012513688557067252</v>
      </c>
      <c r="N4" s="17">
        <v>0</v>
      </c>
    </row>
    <row r="5" spans="1:14" ht="12.75">
      <c r="A5" s="3">
        <f t="shared" si="0"/>
        <v>4</v>
      </c>
      <c r="B5" s="3" t="s">
        <v>38</v>
      </c>
      <c r="C5" s="4">
        <v>9.0122</v>
      </c>
      <c r="D5" s="4">
        <v>1.85</v>
      </c>
      <c r="F5" s="11">
        <v>3</v>
      </c>
      <c r="G5" s="12">
        <v>2.04</v>
      </c>
      <c r="H5" s="13">
        <v>21.845</v>
      </c>
      <c r="I5" s="13">
        <v>1.461</v>
      </c>
      <c r="K5" s="3">
        <v>4</v>
      </c>
      <c r="L5" s="3" t="s">
        <v>13</v>
      </c>
      <c r="M5">
        <v>0.035678864939365604</v>
      </c>
      <c r="N5" s="17">
        <v>1</v>
      </c>
    </row>
    <row r="6" spans="1:14" ht="12.75">
      <c r="A6" s="3">
        <f t="shared" si="0"/>
        <v>5</v>
      </c>
      <c r="B6" s="3" t="s">
        <v>39</v>
      </c>
      <c r="C6" s="4">
        <v>10.811</v>
      </c>
      <c r="D6" s="4">
        <v>2.34</v>
      </c>
      <c r="F6" s="11">
        <v>4</v>
      </c>
      <c r="G6" s="12">
        <v>2.06</v>
      </c>
      <c r="H6" s="13">
        <v>21.728</v>
      </c>
      <c r="I6" s="13">
        <v>1.468</v>
      </c>
      <c r="K6" s="3">
        <v>5</v>
      </c>
      <c r="L6" s="3" t="s">
        <v>14</v>
      </c>
      <c r="M6">
        <v>-0.895</v>
      </c>
      <c r="N6" s="17">
        <v>-0.895</v>
      </c>
    </row>
    <row r="7" spans="1:14" ht="12.75">
      <c r="A7" s="3">
        <f t="shared" si="0"/>
        <v>6</v>
      </c>
      <c r="B7" s="3" t="s">
        <v>40</v>
      </c>
      <c r="C7" s="4">
        <v>12.01115</v>
      </c>
      <c r="D7" s="4">
        <v>2.26</v>
      </c>
      <c r="E7" s="5"/>
      <c r="F7" s="11">
        <v>5</v>
      </c>
      <c r="G7" s="12">
        <v>2.08</v>
      </c>
      <c r="H7" s="13">
        <v>21.613</v>
      </c>
      <c r="I7" s="13">
        <v>1.474</v>
      </c>
      <c r="K7" s="3">
        <v>6</v>
      </c>
      <c r="L7" s="3" t="s">
        <v>15</v>
      </c>
      <c r="M7">
        <v>0.02703</v>
      </c>
      <c r="N7" s="17">
        <v>0.02703</v>
      </c>
    </row>
    <row r="8" spans="1:14" ht="12.75">
      <c r="A8" s="3">
        <f t="shared" si="0"/>
        <v>7</v>
      </c>
      <c r="B8" s="3" t="s">
        <v>0</v>
      </c>
      <c r="C8" s="4">
        <v>14.0067</v>
      </c>
      <c r="D8" s="4">
        <v>0.81</v>
      </c>
      <c r="F8" s="11">
        <v>6</v>
      </c>
      <c r="G8" s="12">
        <v>2.1</v>
      </c>
      <c r="H8" s="13">
        <v>21.498</v>
      </c>
      <c r="I8" s="13">
        <v>1.48</v>
      </c>
      <c r="K8" s="3">
        <v>7</v>
      </c>
      <c r="L8" s="3" t="s">
        <v>16</v>
      </c>
      <c r="M8">
        <v>0.0002041</v>
      </c>
      <c r="N8" s="17">
        <v>0.0002041</v>
      </c>
    </row>
    <row r="9" spans="1:14" ht="12.75">
      <c r="A9" s="3">
        <f t="shared" si="0"/>
        <v>8</v>
      </c>
      <c r="B9" s="3" t="s">
        <v>41</v>
      </c>
      <c r="C9" s="4">
        <v>15.9994</v>
      </c>
      <c r="D9" s="4">
        <v>1.14</v>
      </c>
      <c r="E9" s="6"/>
      <c r="F9" s="11">
        <v>7</v>
      </c>
      <c r="G9" s="12">
        <v>2.12</v>
      </c>
      <c r="H9" s="13">
        <v>21.384</v>
      </c>
      <c r="I9" s="13">
        <v>1.487</v>
      </c>
      <c r="K9" s="3">
        <v>8</v>
      </c>
      <c r="L9" s="3" t="s">
        <v>17</v>
      </c>
      <c r="M9">
        <v>0</v>
      </c>
      <c r="N9" s="17">
        <v>0</v>
      </c>
    </row>
    <row r="10" spans="1:14" ht="12.75">
      <c r="A10" s="3">
        <f t="shared" si="0"/>
        <v>9</v>
      </c>
      <c r="B10" s="3" t="s">
        <v>42</v>
      </c>
      <c r="C10" s="4">
        <v>18.9984</v>
      </c>
      <c r="D10" s="4">
        <v>1.505</v>
      </c>
      <c r="F10" s="11">
        <v>8</v>
      </c>
      <c r="G10" s="12">
        <v>2.14</v>
      </c>
      <c r="H10" s="13">
        <v>21.271</v>
      </c>
      <c r="I10" s="13">
        <v>1.493</v>
      </c>
      <c r="K10" s="3">
        <v>9</v>
      </c>
      <c r="L10" s="3" t="s">
        <v>18</v>
      </c>
      <c r="M10">
        <v>0</v>
      </c>
      <c r="N10" s="17">
        <v>0</v>
      </c>
    </row>
    <row r="11" spans="1:14" ht="12.75">
      <c r="A11" s="3">
        <f t="shared" si="0"/>
        <v>10</v>
      </c>
      <c r="B11" s="3" t="s">
        <v>43</v>
      </c>
      <c r="C11" s="4">
        <v>20.183</v>
      </c>
      <c r="D11" s="4">
        <v>1.2</v>
      </c>
      <c r="F11" s="11">
        <v>9</v>
      </c>
      <c r="G11" s="12">
        <v>2.16</v>
      </c>
      <c r="H11" s="13">
        <v>21.159</v>
      </c>
      <c r="I11" s="13">
        <v>1.499</v>
      </c>
      <c r="K11" s="3">
        <v>10</v>
      </c>
      <c r="L11" s="3" t="s">
        <v>19</v>
      </c>
      <c r="M11">
        <v>0.541697</v>
      </c>
      <c r="N11" s="17">
        <v>0.541697</v>
      </c>
    </row>
    <row r="12" spans="1:14" ht="12.75">
      <c r="A12" s="3">
        <f t="shared" si="0"/>
        <v>11</v>
      </c>
      <c r="B12" s="3" t="s">
        <v>44</v>
      </c>
      <c r="C12" s="4">
        <v>22.9898</v>
      </c>
      <c r="D12" s="4">
        <v>0.97</v>
      </c>
      <c r="F12" s="11">
        <v>10</v>
      </c>
      <c r="G12" s="12">
        <v>2.18</v>
      </c>
      <c r="H12" s="13">
        <v>21.048</v>
      </c>
      <c r="I12" s="13">
        <v>1.505</v>
      </c>
      <c r="K12" s="3">
        <v>11</v>
      </c>
      <c r="L12" s="3" t="s">
        <v>20</v>
      </c>
      <c r="M12">
        <v>0</v>
      </c>
      <c r="N12" s="17">
        <v>0</v>
      </c>
    </row>
    <row r="13" spans="1:14" ht="12.75">
      <c r="A13" s="3">
        <f t="shared" si="0"/>
        <v>12</v>
      </c>
      <c r="B13" s="3" t="s">
        <v>45</v>
      </c>
      <c r="C13" s="4">
        <v>24.312</v>
      </c>
      <c r="D13" s="4">
        <v>1.74</v>
      </c>
      <c r="F13" s="11">
        <v>11</v>
      </c>
      <c r="G13" s="12">
        <v>2.2</v>
      </c>
      <c r="H13" s="13">
        <v>20.937</v>
      </c>
      <c r="I13" s="13">
        <v>1.51</v>
      </c>
      <c r="K13" s="3">
        <v>12</v>
      </c>
      <c r="L13" s="3" t="s">
        <v>21</v>
      </c>
      <c r="M13">
        <v>0.365443</v>
      </c>
      <c r="N13" s="17">
        <v>0.365443</v>
      </c>
    </row>
    <row r="14" spans="1:14" ht="12.75">
      <c r="A14" s="3">
        <f t="shared" si="0"/>
        <v>13</v>
      </c>
      <c r="B14" s="3" t="s">
        <v>46</v>
      </c>
      <c r="C14" s="4">
        <v>26.9815</v>
      </c>
      <c r="D14" s="4">
        <v>2.7</v>
      </c>
      <c r="F14" s="11">
        <v>12</v>
      </c>
      <c r="G14" s="12">
        <v>2.22</v>
      </c>
      <c r="H14" s="13">
        <v>20.828</v>
      </c>
      <c r="I14" s="13">
        <v>1.516</v>
      </c>
      <c r="K14" s="3">
        <v>13</v>
      </c>
      <c r="L14" s="3" t="s">
        <v>22</v>
      </c>
      <c r="M14">
        <v>0</v>
      </c>
      <c r="N14" s="17">
        <v>0</v>
      </c>
    </row>
    <row r="15" spans="1:14" ht="12.75">
      <c r="A15" s="3">
        <f t="shared" si="0"/>
        <v>14</v>
      </c>
      <c r="B15" s="3" t="s">
        <v>47</v>
      </c>
      <c r="C15" s="4">
        <v>28.086</v>
      </c>
      <c r="D15" s="4">
        <v>2.33</v>
      </c>
      <c r="F15" s="11">
        <v>13</v>
      </c>
      <c r="G15" s="12">
        <v>2.24</v>
      </c>
      <c r="H15" s="13">
        <v>20.719</v>
      </c>
      <c r="I15" s="13">
        <v>1.522</v>
      </c>
      <c r="K15" s="3">
        <v>14</v>
      </c>
      <c r="L15" s="3" t="s">
        <v>23</v>
      </c>
      <c r="M15">
        <v>-0.279305</v>
      </c>
      <c r="N15" s="17">
        <v>-0.279305</v>
      </c>
    </row>
    <row r="16" spans="1:14" ht="12.75">
      <c r="A16" s="3">
        <f t="shared" si="0"/>
        <v>15</v>
      </c>
      <c r="B16" s="3" t="s">
        <v>48</v>
      </c>
      <c r="C16" s="4">
        <v>30.9738</v>
      </c>
      <c r="D16" s="4">
        <v>1.82</v>
      </c>
      <c r="F16" s="11">
        <v>14</v>
      </c>
      <c r="G16" s="12">
        <v>2.26</v>
      </c>
      <c r="H16" s="13">
        <v>20.61</v>
      </c>
      <c r="I16" s="13">
        <v>1.527</v>
      </c>
      <c r="K16" s="3">
        <v>15</v>
      </c>
      <c r="L16" s="3" t="s">
        <v>24</v>
      </c>
      <c r="M16">
        <v>0</v>
      </c>
      <c r="N16" s="17">
        <v>0</v>
      </c>
    </row>
    <row r="17" spans="1:14" ht="12.75">
      <c r="A17" s="3">
        <f t="shared" si="0"/>
        <v>16</v>
      </c>
      <c r="B17" s="3" t="s">
        <v>49</v>
      </c>
      <c r="C17" s="4">
        <v>32.064</v>
      </c>
      <c r="D17" s="4">
        <v>2.07</v>
      </c>
      <c r="F17" s="11">
        <v>15</v>
      </c>
      <c r="G17" s="12">
        <v>2.28</v>
      </c>
      <c r="H17" s="13">
        <v>20.502</v>
      </c>
      <c r="I17" s="13">
        <v>1.533</v>
      </c>
      <c r="K17" s="3">
        <v>16</v>
      </c>
      <c r="L17" s="3" t="s">
        <v>25</v>
      </c>
      <c r="M17">
        <v>0.87914</v>
      </c>
      <c r="N17" s="17">
        <v>0.87914</v>
      </c>
    </row>
    <row r="18" spans="1:14" ht="12.75">
      <c r="A18" s="3">
        <f t="shared" si="0"/>
        <v>17</v>
      </c>
      <c r="B18" s="3" t="s">
        <v>50</v>
      </c>
      <c r="C18" s="4">
        <v>35.453</v>
      </c>
      <c r="D18" s="4">
        <v>1.56</v>
      </c>
      <c r="F18" s="11">
        <v>16</v>
      </c>
      <c r="G18" s="12">
        <v>2.3</v>
      </c>
      <c r="H18" s="13">
        <v>20.395</v>
      </c>
      <c r="I18" s="13">
        <v>1.538</v>
      </c>
      <c r="K18" s="3">
        <v>17</v>
      </c>
      <c r="L18" s="3" t="s">
        <v>26</v>
      </c>
      <c r="M18">
        <v>2.1779</v>
      </c>
      <c r="N18" s="17">
        <v>2.1779</v>
      </c>
    </row>
    <row r="19" spans="1:14" ht="12.75">
      <c r="A19" s="3">
        <f t="shared" si="0"/>
        <v>18</v>
      </c>
      <c r="B19" s="3" t="s">
        <v>51</v>
      </c>
      <c r="C19" s="4">
        <v>39.948</v>
      </c>
      <c r="D19" s="4">
        <v>1.4</v>
      </c>
      <c r="F19" s="11">
        <v>17</v>
      </c>
      <c r="G19" s="12">
        <v>2.32</v>
      </c>
      <c r="H19" s="13">
        <v>20.289</v>
      </c>
      <c r="I19" s="13">
        <v>1.543</v>
      </c>
      <c r="K19" s="3">
        <v>18</v>
      </c>
      <c r="L19" s="3" t="s">
        <v>27</v>
      </c>
      <c r="M19">
        <v>-0.00677021</v>
      </c>
      <c r="N19" s="17">
        <v>-0.00677021</v>
      </c>
    </row>
    <row r="20" spans="1:14" ht="12.75">
      <c r="A20" s="3">
        <f t="shared" si="0"/>
        <v>19</v>
      </c>
      <c r="B20" s="3" t="s">
        <v>52</v>
      </c>
      <c r="C20" s="4">
        <v>39.102</v>
      </c>
      <c r="D20" s="4">
        <v>0.86</v>
      </c>
      <c r="F20" s="11">
        <v>18</v>
      </c>
      <c r="G20" s="12">
        <v>2.34</v>
      </c>
      <c r="H20" s="13">
        <v>20.183</v>
      </c>
      <c r="I20" s="13">
        <v>1.549</v>
      </c>
      <c r="K20" s="3">
        <v>19</v>
      </c>
      <c r="L20" s="3" t="s">
        <v>28</v>
      </c>
      <c r="M20">
        <v>0</v>
      </c>
      <c r="N20" s="17">
        <v>0</v>
      </c>
    </row>
    <row r="21" spans="1:14" ht="12.75">
      <c r="A21" s="3">
        <f t="shared" si="0"/>
        <v>20</v>
      </c>
      <c r="B21" s="3" t="s">
        <v>53</v>
      </c>
      <c r="C21" s="4">
        <v>40.08</v>
      </c>
      <c r="D21" s="4">
        <v>1.55</v>
      </c>
      <c r="F21" s="11">
        <v>19</v>
      </c>
      <c r="G21" s="12">
        <v>2.36</v>
      </c>
      <c r="H21" s="13">
        <v>20.078</v>
      </c>
      <c r="I21" s="13">
        <v>1.554</v>
      </c>
      <c r="K21" s="3">
        <v>20</v>
      </c>
      <c r="L21" s="3" t="s">
        <v>29</v>
      </c>
      <c r="M21">
        <v>0</v>
      </c>
      <c r="N21" s="17">
        <v>0</v>
      </c>
    </row>
    <row r="22" spans="1:14" ht="12.75">
      <c r="A22" s="3">
        <f t="shared" si="0"/>
        <v>21</v>
      </c>
      <c r="B22" s="3" t="s">
        <v>54</v>
      </c>
      <c r="C22" s="4">
        <v>44.956</v>
      </c>
      <c r="D22" s="4">
        <v>3</v>
      </c>
      <c r="F22" s="11">
        <v>20</v>
      </c>
      <c r="G22" s="12">
        <v>2.38</v>
      </c>
      <c r="H22" s="13">
        <v>19.973</v>
      </c>
      <c r="I22" s="13">
        <v>1.559</v>
      </c>
      <c r="K22" s="3">
        <v>21</v>
      </c>
      <c r="L22" s="3" t="s">
        <v>30</v>
      </c>
      <c r="M22">
        <v>2</v>
      </c>
      <c r="N22" s="17">
        <v>2</v>
      </c>
    </row>
    <row r="23" spans="1:14" ht="12.75">
      <c r="A23" s="3">
        <f t="shared" si="0"/>
        <v>22</v>
      </c>
      <c r="B23" s="3" t="s">
        <v>55</v>
      </c>
      <c r="C23" s="4">
        <v>47.9</v>
      </c>
      <c r="D23" s="4">
        <v>4.51</v>
      </c>
      <c r="F23" s="11">
        <v>21</v>
      </c>
      <c r="G23" s="12">
        <v>2.4</v>
      </c>
      <c r="H23" s="13">
        <v>19.869</v>
      </c>
      <c r="I23" s="13">
        <v>1.564</v>
      </c>
      <c r="K23" s="3">
        <v>22</v>
      </c>
      <c r="L23" s="3" t="s">
        <v>31</v>
      </c>
      <c r="M23">
        <v>1.5</v>
      </c>
      <c r="N23" s="17">
        <v>1.5</v>
      </c>
    </row>
    <row r="24" spans="1:9" ht="12.75">
      <c r="A24" s="3">
        <f t="shared" si="0"/>
        <v>23</v>
      </c>
      <c r="B24" s="3" t="s">
        <v>56</v>
      </c>
      <c r="C24" s="4">
        <v>50.942</v>
      </c>
      <c r="D24" s="4">
        <v>6.1</v>
      </c>
      <c r="F24" s="11">
        <v>22</v>
      </c>
      <c r="G24" s="12">
        <v>2.42</v>
      </c>
      <c r="H24" s="13">
        <v>19.766</v>
      </c>
      <c r="I24" s="13">
        <v>1.568</v>
      </c>
    </row>
    <row r="25" spans="1:9" ht="12.75">
      <c r="A25" s="3">
        <f t="shared" si="0"/>
        <v>24</v>
      </c>
      <c r="B25" s="3" t="s">
        <v>57</v>
      </c>
      <c r="C25" s="4">
        <v>51.996</v>
      </c>
      <c r="D25" s="4">
        <v>7.19</v>
      </c>
      <c r="F25" s="11">
        <v>23</v>
      </c>
      <c r="G25" s="12">
        <v>2.44</v>
      </c>
      <c r="H25" s="13">
        <v>19.663</v>
      </c>
      <c r="I25" s="13">
        <v>1.573</v>
      </c>
    </row>
    <row r="26" spans="1:9" ht="12.75">
      <c r="A26" s="3">
        <f t="shared" si="0"/>
        <v>25</v>
      </c>
      <c r="B26" s="3" t="s">
        <v>58</v>
      </c>
      <c r="C26" s="4">
        <v>54.938</v>
      </c>
      <c r="D26" s="4">
        <v>7.43</v>
      </c>
      <c r="F26" s="11">
        <v>24</v>
      </c>
      <c r="G26" s="12">
        <v>2.46</v>
      </c>
      <c r="H26" s="13">
        <v>19.561</v>
      </c>
      <c r="I26" s="13">
        <v>1.578</v>
      </c>
    </row>
    <row r="27" spans="1:9" ht="12.75">
      <c r="A27" s="3">
        <f t="shared" si="0"/>
        <v>26</v>
      </c>
      <c r="B27" s="3" t="s">
        <v>59</v>
      </c>
      <c r="C27" s="4">
        <v>55.847</v>
      </c>
      <c r="D27" s="4">
        <v>7.86</v>
      </c>
      <c r="F27" s="11">
        <v>25</v>
      </c>
      <c r="G27" s="12">
        <v>2.48</v>
      </c>
      <c r="H27" s="13">
        <v>19.46</v>
      </c>
      <c r="I27" s="13">
        <v>1.582</v>
      </c>
    </row>
    <row r="28" spans="1:9" ht="12.75">
      <c r="A28" s="3">
        <f t="shared" si="0"/>
        <v>27</v>
      </c>
      <c r="B28" s="3" t="s">
        <v>60</v>
      </c>
      <c r="C28" s="4">
        <v>58.933</v>
      </c>
      <c r="D28" s="4">
        <v>8.9</v>
      </c>
      <c r="F28" s="11">
        <v>26</v>
      </c>
      <c r="G28" s="12">
        <v>2.5</v>
      </c>
      <c r="H28" s="13">
        <v>19.359</v>
      </c>
      <c r="I28" s="13">
        <v>1.587</v>
      </c>
    </row>
    <row r="29" spans="1:9" ht="12.75">
      <c r="A29" s="3">
        <f t="shared" si="0"/>
        <v>28</v>
      </c>
      <c r="B29" s="3" t="s">
        <v>61</v>
      </c>
      <c r="C29" s="4">
        <v>58.71</v>
      </c>
      <c r="D29" s="4">
        <v>8.9</v>
      </c>
      <c r="F29" s="11">
        <v>27</v>
      </c>
      <c r="G29" s="12">
        <v>2.52</v>
      </c>
      <c r="H29" s="13">
        <v>19.258</v>
      </c>
      <c r="I29" s="13">
        <v>1.591</v>
      </c>
    </row>
    <row r="30" spans="1:9" ht="12.75">
      <c r="A30" s="3">
        <f t="shared" si="0"/>
        <v>29</v>
      </c>
      <c r="B30" s="3" t="s">
        <v>62</v>
      </c>
      <c r="C30" s="4">
        <v>63.54</v>
      </c>
      <c r="D30" s="4">
        <v>8.96</v>
      </c>
      <c r="F30" s="11">
        <v>28</v>
      </c>
      <c r="G30" s="12">
        <v>2.54</v>
      </c>
      <c r="H30" s="13">
        <v>19.159</v>
      </c>
      <c r="I30" s="13">
        <v>1.596</v>
      </c>
    </row>
    <row r="31" spans="1:12" ht="12.75">
      <c r="A31" s="3">
        <f t="shared" si="0"/>
        <v>30</v>
      </c>
      <c r="B31" s="3" t="s">
        <v>63</v>
      </c>
      <c r="C31" s="4">
        <v>65.37</v>
      </c>
      <c r="D31" s="4">
        <v>7.14</v>
      </c>
      <c r="F31" s="11">
        <v>29</v>
      </c>
      <c r="G31" s="12">
        <v>2.56</v>
      </c>
      <c r="H31" s="13">
        <v>19.06</v>
      </c>
      <c r="I31" s="13">
        <v>1.6</v>
      </c>
      <c r="L31" s="18"/>
    </row>
    <row r="32" spans="1:12" ht="12.75">
      <c r="A32" s="3">
        <f t="shared" si="0"/>
        <v>31</v>
      </c>
      <c r="B32" s="3" t="s">
        <v>64</v>
      </c>
      <c r="C32" s="4">
        <v>69.72</v>
      </c>
      <c r="D32" s="4">
        <v>5.91</v>
      </c>
      <c r="F32" s="11">
        <v>30</v>
      </c>
      <c r="G32" s="12">
        <v>2.58</v>
      </c>
      <c r="H32" s="13">
        <v>18.961</v>
      </c>
      <c r="I32" s="13">
        <v>1.604</v>
      </c>
      <c r="L32" s="18"/>
    </row>
    <row r="33" spans="1:13" ht="12.75">
      <c r="A33" s="3">
        <f t="shared" si="0"/>
        <v>32</v>
      </c>
      <c r="B33" s="3" t="s">
        <v>65</v>
      </c>
      <c r="C33" s="4">
        <v>72.59</v>
      </c>
      <c r="D33" s="4">
        <v>5.32</v>
      </c>
      <c r="F33" s="11">
        <v>31</v>
      </c>
      <c r="G33" s="12">
        <v>2.6</v>
      </c>
      <c r="H33" s="13">
        <v>18.863</v>
      </c>
      <c r="I33" s="13">
        <v>1.608</v>
      </c>
      <c r="L33" s="18"/>
      <c r="M33" s="20"/>
    </row>
    <row r="34" spans="1:13" ht="12.75">
      <c r="A34" s="3">
        <f t="shared" si="0"/>
        <v>33</v>
      </c>
      <c r="B34" s="3" t="s">
        <v>66</v>
      </c>
      <c r="C34" s="4">
        <v>74.922</v>
      </c>
      <c r="D34" s="4">
        <v>5.72</v>
      </c>
      <c r="F34" s="11">
        <v>32</v>
      </c>
      <c r="G34" s="12">
        <v>2.62</v>
      </c>
      <c r="H34" s="13">
        <v>18.766</v>
      </c>
      <c r="I34" s="13">
        <v>1.612</v>
      </c>
      <c r="M34" s="20"/>
    </row>
    <row r="35" spans="1:13" ht="12.75">
      <c r="A35" s="3">
        <f aca="true" t="shared" si="1" ref="A35:A66">1+A34</f>
        <v>34</v>
      </c>
      <c r="B35" s="3" t="s">
        <v>67</v>
      </c>
      <c r="C35" s="4">
        <v>78.96</v>
      </c>
      <c r="D35" s="4">
        <v>4.79</v>
      </c>
      <c r="F35" s="11">
        <v>33</v>
      </c>
      <c r="G35" s="12">
        <v>2.64</v>
      </c>
      <c r="H35" s="13">
        <v>18.67</v>
      </c>
      <c r="I35" s="13">
        <v>1.616</v>
      </c>
      <c r="M35"/>
    </row>
    <row r="36" spans="1:15" ht="12.75">
      <c r="A36" s="3">
        <f t="shared" si="1"/>
        <v>35</v>
      </c>
      <c r="B36" s="3" t="s">
        <v>68</v>
      </c>
      <c r="C36" s="4">
        <v>79.909</v>
      </c>
      <c r="D36" s="4">
        <v>3.12</v>
      </c>
      <c r="F36" s="11">
        <v>34</v>
      </c>
      <c r="G36" s="12">
        <v>2.66</v>
      </c>
      <c r="H36" s="13">
        <v>18.574</v>
      </c>
      <c r="I36" s="13">
        <v>1.62</v>
      </c>
      <c r="M36"/>
      <c r="N36" s="19"/>
      <c r="O36" s="3"/>
    </row>
    <row r="37" spans="1:15" ht="12.75">
      <c r="A37" s="3">
        <f t="shared" si="1"/>
        <v>36</v>
      </c>
      <c r="B37" s="3" t="s">
        <v>69</v>
      </c>
      <c r="C37" s="4">
        <v>83.8</v>
      </c>
      <c r="D37" s="4">
        <v>2.6</v>
      </c>
      <c r="F37" s="11">
        <v>35</v>
      </c>
      <c r="G37" s="12">
        <v>2.68</v>
      </c>
      <c r="H37" s="13">
        <v>18.478</v>
      </c>
      <c r="I37" s="13">
        <v>1.624</v>
      </c>
      <c r="M37"/>
      <c r="N37" s="19"/>
      <c r="O37" s="3"/>
    </row>
    <row r="38" spans="1:15" ht="12.75">
      <c r="A38" s="3">
        <f t="shared" si="1"/>
        <v>37</v>
      </c>
      <c r="B38" s="3" t="s">
        <v>70</v>
      </c>
      <c r="C38" s="4">
        <v>85.47</v>
      </c>
      <c r="D38" s="4">
        <v>1.53</v>
      </c>
      <c r="F38" s="11">
        <v>36</v>
      </c>
      <c r="G38" s="12">
        <v>2.7</v>
      </c>
      <c r="H38" s="13">
        <v>18.384</v>
      </c>
      <c r="I38" s="13">
        <v>1.628</v>
      </c>
      <c r="M38"/>
      <c r="N38" s="19"/>
      <c r="O38" s="3"/>
    </row>
    <row r="39" spans="1:13" ht="12.75">
      <c r="A39" s="3">
        <f t="shared" si="1"/>
        <v>38</v>
      </c>
      <c r="B39" s="3" t="s">
        <v>71</v>
      </c>
      <c r="C39" s="4">
        <v>87.62</v>
      </c>
      <c r="D39" s="4">
        <v>2.6</v>
      </c>
      <c r="F39" s="11">
        <v>37</v>
      </c>
      <c r="G39" s="12">
        <v>2.72</v>
      </c>
      <c r="H39" s="13">
        <v>18.289</v>
      </c>
      <c r="I39" s="13">
        <v>1.631</v>
      </c>
      <c r="M39"/>
    </row>
    <row r="40" spans="1:13" ht="12.75">
      <c r="A40" s="3">
        <f t="shared" si="1"/>
        <v>39</v>
      </c>
      <c r="B40" s="3" t="s">
        <v>72</v>
      </c>
      <c r="C40" s="4">
        <v>88.905</v>
      </c>
      <c r="D40" s="4">
        <v>4.47</v>
      </c>
      <c r="F40" s="11">
        <v>38</v>
      </c>
      <c r="G40" s="12">
        <v>2.74</v>
      </c>
      <c r="H40" s="13">
        <v>18.196</v>
      </c>
      <c r="I40" s="13">
        <v>1.635</v>
      </c>
      <c r="L40" s="19"/>
      <c r="M40" s="3"/>
    </row>
    <row r="41" spans="1:13" ht="12.75">
      <c r="A41" s="3">
        <f t="shared" si="1"/>
        <v>40</v>
      </c>
      <c r="B41" s="3" t="s">
        <v>73</v>
      </c>
      <c r="C41" s="4">
        <v>91.22</v>
      </c>
      <c r="D41" s="4">
        <v>6.49</v>
      </c>
      <c r="F41" s="11">
        <v>39</v>
      </c>
      <c r="G41" s="12">
        <v>2.76</v>
      </c>
      <c r="H41" s="13">
        <v>18.103</v>
      </c>
      <c r="I41" s="13">
        <v>1.638</v>
      </c>
      <c r="L41" s="11"/>
      <c r="M41"/>
    </row>
    <row r="42" spans="1:13" ht="12.75">
      <c r="A42" s="3">
        <f t="shared" si="1"/>
        <v>41</v>
      </c>
      <c r="B42" s="3" t="s">
        <v>74</v>
      </c>
      <c r="C42" s="4">
        <v>92.906</v>
      </c>
      <c r="D42" s="4">
        <v>8.4</v>
      </c>
      <c r="F42" s="11">
        <v>40</v>
      </c>
      <c r="G42" s="12">
        <v>2.78</v>
      </c>
      <c r="H42" s="13">
        <v>18.011</v>
      </c>
      <c r="I42" s="13">
        <v>1.642</v>
      </c>
      <c r="L42" s="11"/>
      <c r="M42"/>
    </row>
    <row r="43" spans="1:13" ht="12.75">
      <c r="A43" s="3">
        <f t="shared" si="1"/>
        <v>42</v>
      </c>
      <c r="B43" s="3" t="s">
        <v>75</v>
      </c>
      <c r="C43" s="4">
        <v>95.94</v>
      </c>
      <c r="D43" s="4">
        <v>10.2</v>
      </c>
      <c r="F43" s="11">
        <v>41</v>
      </c>
      <c r="G43" s="12">
        <v>2.8</v>
      </c>
      <c r="H43" s="13">
        <v>17.919</v>
      </c>
      <c r="I43" s="13">
        <v>1.645</v>
      </c>
      <c r="L43" s="11"/>
      <c r="M43"/>
    </row>
    <row r="44" spans="1:13" ht="12.75">
      <c r="A44" s="3">
        <f t="shared" si="1"/>
        <v>43</v>
      </c>
      <c r="B44" s="3" t="s">
        <v>76</v>
      </c>
      <c r="C44" s="4">
        <v>98</v>
      </c>
      <c r="D44" s="4">
        <v>11.5</v>
      </c>
      <c r="F44" s="11">
        <v>42</v>
      </c>
      <c r="G44" s="12">
        <v>2.82</v>
      </c>
      <c r="H44" s="13">
        <v>17.829</v>
      </c>
      <c r="I44" s="13">
        <v>1.649</v>
      </c>
      <c r="L44" s="11"/>
      <c r="M44"/>
    </row>
    <row r="45" spans="1:13" ht="12.75">
      <c r="A45" s="3">
        <f t="shared" si="1"/>
        <v>44</v>
      </c>
      <c r="B45" s="3" t="s">
        <v>77</v>
      </c>
      <c r="C45" s="4">
        <v>101.07</v>
      </c>
      <c r="D45" s="4">
        <v>12.2</v>
      </c>
      <c r="F45" s="11">
        <v>43</v>
      </c>
      <c r="G45" s="12">
        <v>2.84</v>
      </c>
      <c r="H45" s="13">
        <v>17.738</v>
      </c>
      <c r="I45" s="13">
        <v>1.652</v>
      </c>
      <c r="L45" s="11"/>
      <c r="M45"/>
    </row>
    <row r="46" spans="1:13" ht="12.75">
      <c r="A46" s="3">
        <f t="shared" si="1"/>
        <v>45</v>
      </c>
      <c r="B46" s="3" t="s">
        <v>78</v>
      </c>
      <c r="C46" s="4">
        <v>102.905</v>
      </c>
      <c r="D46" s="4">
        <v>12.4</v>
      </c>
      <c r="F46" s="11">
        <v>44</v>
      </c>
      <c r="G46" s="12">
        <v>2.86</v>
      </c>
      <c r="H46" s="13">
        <v>17.649</v>
      </c>
      <c r="I46" s="13">
        <v>1.655</v>
      </c>
      <c r="L46" s="11"/>
      <c r="M46"/>
    </row>
    <row r="47" spans="1:13" ht="12.75">
      <c r="A47" s="3">
        <f t="shared" si="1"/>
        <v>46</v>
      </c>
      <c r="B47" s="3" t="s">
        <v>79</v>
      </c>
      <c r="C47" s="4">
        <v>106.4</v>
      </c>
      <c r="D47" s="4">
        <v>12</v>
      </c>
      <c r="F47" s="11">
        <v>45</v>
      </c>
      <c r="G47" s="12">
        <v>2.88</v>
      </c>
      <c r="H47" s="13">
        <v>17.56</v>
      </c>
      <c r="I47" s="13">
        <v>1.658</v>
      </c>
      <c r="L47" s="11"/>
      <c r="M47"/>
    </row>
    <row r="48" spans="1:13" ht="12.75">
      <c r="A48" s="3">
        <f t="shared" si="1"/>
        <v>47</v>
      </c>
      <c r="B48" s="3" t="s">
        <v>80</v>
      </c>
      <c r="C48" s="4">
        <v>107.87</v>
      </c>
      <c r="D48" s="4">
        <v>10.5</v>
      </c>
      <c r="F48" s="11">
        <v>46</v>
      </c>
      <c r="G48" s="12">
        <v>2.9</v>
      </c>
      <c r="H48" s="13">
        <v>17.471</v>
      </c>
      <c r="I48" s="13">
        <v>1.661</v>
      </c>
      <c r="L48" s="11"/>
      <c r="M48"/>
    </row>
    <row r="49" spans="1:13" ht="12.75">
      <c r="A49" s="3">
        <f t="shared" si="1"/>
        <v>48</v>
      </c>
      <c r="B49" s="3" t="s">
        <v>81</v>
      </c>
      <c r="C49" s="4">
        <v>112.4</v>
      </c>
      <c r="D49" s="4">
        <v>8.65</v>
      </c>
      <c r="F49" s="11">
        <v>47</v>
      </c>
      <c r="G49" s="12">
        <v>2.92</v>
      </c>
      <c r="H49" s="13">
        <v>17.384</v>
      </c>
      <c r="I49" s="13">
        <v>1.664</v>
      </c>
      <c r="L49" s="11"/>
      <c r="M49"/>
    </row>
    <row r="50" spans="1:13" ht="12.75">
      <c r="A50" s="3">
        <f t="shared" si="1"/>
        <v>49</v>
      </c>
      <c r="B50" s="3" t="s">
        <v>82</v>
      </c>
      <c r="C50" s="4">
        <v>114.82</v>
      </c>
      <c r="D50" s="4">
        <v>7.31</v>
      </c>
      <c r="F50" s="11">
        <v>48</v>
      </c>
      <c r="G50" s="12">
        <v>2.94</v>
      </c>
      <c r="H50" s="13">
        <v>17.297</v>
      </c>
      <c r="I50" s="13">
        <v>1.667</v>
      </c>
      <c r="L50" s="11"/>
      <c r="M50"/>
    </row>
    <row r="51" spans="1:13" ht="12.75">
      <c r="A51" s="3">
        <f t="shared" si="1"/>
        <v>50</v>
      </c>
      <c r="B51" s="3" t="s">
        <v>83</v>
      </c>
      <c r="C51" s="4">
        <v>118.69</v>
      </c>
      <c r="D51" s="4">
        <v>7.3</v>
      </c>
      <c r="F51" s="11">
        <v>49</v>
      </c>
      <c r="G51" s="12">
        <v>2.96</v>
      </c>
      <c r="H51" s="13">
        <v>17.21</v>
      </c>
      <c r="I51" s="13">
        <v>1.67</v>
      </c>
      <c r="L51" s="11"/>
      <c r="M51"/>
    </row>
    <row r="52" spans="1:13" ht="12.75">
      <c r="A52" s="3">
        <f t="shared" si="1"/>
        <v>51</v>
      </c>
      <c r="B52" s="3" t="s">
        <v>84</v>
      </c>
      <c r="C52" s="4">
        <v>121.75</v>
      </c>
      <c r="D52" s="4">
        <v>6.62</v>
      </c>
      <c r="F52" s="11">
        <v>50</v>
      </c>
      <c r="G52" s="12">
        <v>2.98</v>
      </c>
      <c r="H52" s="13">
        <v>17.125</v>
      </c>
      <c r="I52" s="13">
        <v>1.673</v>
      </c>
      <c r="L52" s="11"/>
      <c r="M52"/>
    </row>
    <row r="53" spans="1:13" ht="12.75">
      <c r="A53" s="3">
        <f t="shared" si="1"/>
        <v>52</v>
      </c>
      <c r="B53" s="3" t="s">
        <v>85</v>
      </c>
      <c r="C53" s="4">
        <v>127.6</v>
      </c>
      <c r="D53" s="4">
        <v>6.24</v>
      </c>
      <c r="F53" s="11">
        <v>51</v>
      </c>
      <c r="G53" s="12">
        <v>3</v>
      </c>
      <c r="H53" s="13">
        <v>17.039</v>
      </c>
      <c r="I53" s="13">
        <v>1.676</v>
      </c>
      <c r="L53" s="11"/>
      <c r="M53"/>
    </row>
    <row r="54" spans="1:13" ht="12.75">
      <c r="A54" s="3">
        <f t="shared" si="1"/>
        <v>53</v>
      </c>
      <c r="B54" s="3" t="s">
        <v>86</v>
      </c>
      <c r="C54" s="4">
        <v>126.904</v>
      </c>
      <c r="D54" s="4">
        <v>4.94</v>
      </c>
      <c r="F54" s="11">
        <v>52</v>
      </c>
      <c r="G54" s="12">
        <v>3.02</v>
      </c>
      <c r="H54" s="13">
        <v>16.955</v>
      </c>
      <c r="I54" s="13">
        <v>1.6789999999999998</v>
      </c>
      <c r="L54" s="11"/>
      <c r="M54"/>
    </row>
    <row r="55" spans="1:13" ht="12.75">
      <c r="A55" s="3">
        <f t="shared" si="1"/>
        <v>54</v>
      </c>
      <c r="B55" s="3" t="s">
        <v>87</v>
      </c>
      <c r="C55" s="4">
        <v>131.3</v>
      </c>
      <c r="D55" s="4">
        <v>3.06</v>
      </c>
      <c r="F55" s="11">
        <v>53</v>
      </c>
      <c r="G55" s="12">
        <v>3.04</v>
      </c>
      <c r="H55" s="13">
        <v>16.871</v>
      </c>
      <c r="I55" s="13">
        <v>1.6819999999999997</v>
      </c>
      <c r="L55" s="11"/>
      <c r="M55"/>
    </row>
    <row r="56" spans="1:13" ht="12.75">
      <c r="A56" s="3">
        <f t="shared" si="1"/>
        <v>55</v>
      </c>
      <c r="B56" s="3" t="s">
        <v>88</v>
      </c>
      <c r="C56" s="4">
        <v>132.905</v>
      </c>
      <c r="D56" s="4">
        <v>1.9</v>
      </c>
      <c r="F56" s="11">
        <v>54</v>
      </c>
      <c r="G56" s="12">
        <v>3.06</v>
      </c>
      <c r="H56" s="13">
        <v>16.788</v>
      </c>
      <c r="I56" s="13">
        <v>1.685</v>
      </c>
      <c r="L56" s="11"/>
      <c r="M56"/>
    </row>
    <row r="57" spans="1:13" ht="12.75">
      <c r="A57" s="3">
        <f t="shared" si="1"/>
        <v>56</v>
      </c>
      <c r="B57" s="3" t="s">
        <v>89</v>
      </c>
      <c r="C57" s="4">
        <v>137.34</v>
      </c>
      <c r="D57" s="4">
        <v>3.5</v>
      </c>
      <c r="F57" s="11">
        <v>55</v>
      </c>
      <c r="G57" s="12">
        <v>3.08</v>
      </c>
      <c r="H57" s="13">
        <v>16.706</v>
      </c>
      <c r="I57" s="13">
        <v>1.687</v>
      </c>
      <c r="L57" s="11"/>
      <c r="M57"/>
    </row>
    <row r="58" spans="1:13" ht="12.75">
      <c r="A58" s="3">
        <f t="shared" si="1"/>
        <v>57</v>
      </c>
      <c r="B58" s="3" t="s">
        <v>90</v>
      </c>
      <c r="C58" s="4">
        <v>138.91</v>
      </c>
      <c r="D58" s="4">
        <v>6.17</v>
      </c>
      <c r="F58" s="11">
        <v>56</v>
      </c>
      <c r="G58" s="12">
        <v>3.1</v>
      </c>
      <c r="H58" s="13">
        <v>16.624</v>
      </c>
      <c r="I58" s="13">
        <v>1.69</v>
      </c>
      <c r="L58" s="11"/>
      <c r="M58"/>
    </row>
    <row r="59" spans="1:13" ht="12.75">
      <c r="A59" s="3">
        <f t="shared" si="1"/>
        <v>58</v>
      </c>
      <c r="B59" s="3" t="s">
        <v>91</v>
      </c>
      <c r="C59" s="4">
        <v>140.12</v>
      </c>
      <c r="D59" s="4">
        <v>6.67</v>
      </c>
      <c r="F59" s="11">
        <v>57</v>
      </c>
      <c r="G59" s="12">
        <v>3.12</v>
      </c>
      <c r="H59" s="13">
        <v>16.543</v>
      </c>
      <c r="I59" s="13">
        <v>1.692</v>
      </c>
      <c r="L59" s="11"/>
      <c r="M59"/>
    </row>
    <row r="60" spans="1:13" ht="12.75">
      <c r="A60" s="3">
        <f t="shared" si="1"/>
        <v>59</v>
      </c>
      <c r="B60" s="3" t="s">
        <v>92</v>
      </c>
      <c r="C60" s="4">
        <v>140.907</v>
      </c>
      <c r="D60" s="4">
        <v>6.77</v>
      </c>
      <c r="F60" s="11">
        <v>58</v>
      </c>
      <c r="G60" s="12">
        <v>3.14</v>
      </c>
      <c r="H60" s="13">
        <v>16.462</v>
      </c>
      <c r="I60" s="13">
        <v>1.695</v>
      </c>
      <c r="L60" s="11"/>
      <c r="M60"/>
    </row>
    <row r="61" spans="1:13" ht="12.75">
      <c r="A61" s="3">
        <f t="shared" si="1"/>
        <v>60</v>
      </c>
      <c r="B61" s="3" t="s">
        <v>93</v>
      </c>
      <c r="C61" s="4">
        <v>144.24</v>
      </c>
      <c r="D61" s="4">
        <v>7</v>
      </c>
      <c r="F61" s="11">
        <v>59</v>
      </c>
      <c r="G61" s="12">
        <v>3.16</v>
      </c>
      <c r="H61" s="13">
        <v>16.382</v>
      </c>
      <c r="I61" s="13">
        <v>1.697</v>
      </c>
      <c r="L61" s="11"/>
      <c r="M61"/>
    </row>
    <row r="62" spans="1:13" ht="12.75">
      <c r="A62" s="3">
        <f t="shared" si="1"/>
        <v>61</v>
      </c>
      <c r="B62" s="3" t="s">
        <v>94</v>
      </c>
      <c r="C62" s="4">
        <v>147</v>
      </c>
      <c r="D62" s="4">
        <v>0</v>
      </c>
      <c r="F62" s="11">
        <v>60</v>
      </c>
      <c r="G62" s="12">
        <v>3.18</v>
      </c>
      <c r="H62" s="13">
        <v>16.303</v>
      </c>
      <c r="I62" s="13">
        <v>1.7</v>
      </c>
      <c r="L62" s="11"/>
      <c r="M62"/>
    </row>
    <row r="63" spans="1:13" ht="12.75">
      <c r="A63" s="3">
        <f t="shared" si="1"/>
        <v>62</v>
      </c>
      <c r="B63" s="3" t="s">
        <v>95</v>
      </c>
      <c r="C63" s="4">
        <v>150.35</v>
      </c>
      <c r="D63" s="4">
        <v>7.54</v>
      </c>
      <c r="F63" s="11">
        <v>61</v>
      </c>
      <c r="G63" s="12">
        <v>3.2</v>
      </c>
      <c r="H63" s="13">
        <v>16.224</v>
      </c>
      <c r="I63" s="13">
        <v>1.702</v>
      </c>
      <c r="L63" s="11"/>
      <c r="M63"/>
    </row>
    <row r="64" spans="1:13" ht="12.75">
      <c r="A64" s="3">
        <f t="shared" si="1"/>
        <v>63</v>
      </c>
      <c r="B64" s="3" t="s">
        <v>96</v>
      </c>
      <c r="C64" s="4">
        <v>151.96</v>
      </c>
      <c r="D64" s="4">
        <v>5.26</v>
      </c>
      <c r="F64" s="11">
        <v>62</v>
      </c>
      <c r="G64" s="12">
        <v>3.22</v>
      </c>
      <c r="H64" s="13">
        <v>16.146</v>
      </c>
      <c r="I64" s="13">
        <v>1.705</v>
      </c>
      <c r="L64" s="11"/>
      <c r="M64"/>
    </row>
    <row r="65" spans="1:13" ht="12.75">
      <c r="A65" s="3">
        <f t="shared" si="1"/>
        <v>64</v>
      </c>
      <c r="B65" s="3" t="s">
        <v>97</v>
      </c>
      <c r="C65" s="4">
        <v>157.25</v>
      </c>
      <c r="D65" s="4">
        <v>7.89</v>
      </c>
      <c r="F65" s="11">
        <v>63</v>
      </c>
      <c r="G65" s="12">
        <v>3.24</v>
      </c>
      <c r="H65" s="13">
        <v>16.069</v>
      </c>
      <c r="I65" s="13">
        <v>1.707</v>
      </c>
      <c r="L65" s="11"/>
      <c r="M65"/>
    </row>
    <row r="66" spans="1:13" ht="12.75">
      <c r="A66" s="3">
        <f t="shared" si="1"/>
        <v>65</v>
      </c>
      <c r="B66" s="3" t="s">
        <v>98</v>
      </c>
      <c r="C66" s="4">
        <v>158.924</v>
      </c>
      <c r="D66" s="4">
        <v>8.27</v>
      </c>
      <c r="F66" s="11">
        <v>64</v>
      </c>
      <c r="G66" s="12">
        <v>3.26</v>
      </c>
      <c r="H66" s="13">
        <v>15.992</v>
      </c>
      <c r="I66" s="13">
        <v>1.71</v>
      </c>
      <c r="L66" s="11"/>
      <c r="M66"/>
    </row>
    <row r="67" spans="1:13" ht="12.75">
      <c r="A67" s="3">
        <f aca="true" t="shared" si="2" ref="A67:A98">1+A66</f>
        <v>66</v>
      </c>
      <c r="B67" s="3" t="s">
        <v>99</v>
      </c>
      <c r="C67" s="4">
        <v>162.5</v>
      </c>
      <c r="D67" s="4">
        <v>8.54</v>
      </c>
      <c r="F67" s="11">
        <v>65</v>
      </c>
      <c r="G67" s="12">
        <v>3.28</v>
      </c>
      <c r="H67" s="13">
        <v>15.916</v>
      </c>
      <c r="I67" s="13">
        <v>1.712</v>
      </c>
      <c r="L67" s="11"/>
      <c r="M67"/>
    </row>
    <row r="68" spans="1:13" ht="12.75">
      <c r="A68" s="3">
        <f t="shared" si="2"/>
        <v>67</v>
      </c>
      <c r="B68" s="3" t="s">
        <v>100</v>
      </c>
      <c r="C68" s="4">
        <v>164.93</v>
      </c>
      <c r="D68" s="4">
        <v>8.8</v>
      </c>
      <c r="F68" s="11">
        <v>66</v>
      </c>
      <c r="G68" s="12">
        <v>3.3</v>
      </c>
      <c r="H68" s="13">
        <v>15.841</v>
      </c>
      <c r="I68" s="13">
        <v>1.714</v>
      </c>
      <c r="L68" s="11"/>
      <c r="M68"/>
    </row>
    <row r="69" spans="1:13" ht="12.75">
      <c r="A69" s="3">
        <f t="shared" si="2"/>
        <v>68</v>
      </c>
      <c r="B69" s="3" t="s">
        <v>101</v>
      </c>
      <c r="C69" s="4">
        <v>167.26</v>
      </c>
      <c r="D69" s="4">
        <v>9.05</v>
      </c>
      <c r="F69" s="11">
        <v>67</v>
      </c>
      <c r="G69" s="12">
        <v>3.32</v>
      </c>
      <c r="H69" s="13">
        <v>15.766</v>
      </c>
      <c r="I69" s="13">
        <v>1.716</v>
      </c>
      <c r="L69" s="11"/>
      <c r="M69"/>
    </row>
    <row r="70" spans="1:13" ht="12.75">
      <c r="A70" s="3">
        <f t="shared" si="2"/>
        <v>69</v>
      </c>
      <c r="B70" s="3" t="s">
        <v>102</v>
      </c>
      <c r="C70" s="4">
        <v>168.934</v>
      </c>
      <c r="D70" s="4">
        <v>9.33</v>
      </c>
      <c r="F70" s="11">
        <v>68</v>
      </c>
      <c r="G70" s="12">
        <v>3.34</v>
      </c>
      <c r="H70" s="13">
        <v>15.691</v>
      </c>
      <c r="I70" s="13">
        <v>1.7189999999999999</v>
      </c>
      <c r="L70" s="11"/>
      <c r="M70"/>
    </row>
    <row r="71" spans="1:13" ht="12.75">
      <c r="A71" s="3">
        <f t="shared" si="2"/>
        <v>70</v>
      </c>
      <c r="B71" s="3" t="s">
        <v>103</v>
      </c>
      <c r="C71" s="4">
        <v>173.04</v>
      </c>
      <c r="D71" s="4">
        <v>6.98</v>
      </c>
      <c r="F71" s="11">
        <v>69</v>
      </c>
      <c r="G71" s="12">
        <v>3.36</v>
      </c>
      <c r="H71" s="13">
        <v>15.618</v>
      </c>
      <c r="I71" s="13">
        <v>1.7209999999999999</v>
      </c>
      <c r="L71" s="11"/>
      <c r="M71"/>
    </row>
    <row r="72" spans="1:13" ht="12.75">
      <c r="A72" s="3">
        <f t="shared" si="2"/>
        <v>71</v>
      </c>
      <c r="B72" s="3" t="s">
        <v>104</v>
      </c>
      <c r="C72" s="4">
        <v>174.97</v>
      </c>
      <c r="D72" s="4">
        <v>9.84</v>
      </c>
      <c r="F72" s="11">
        <v>70</v>
      </c>
      <c r="G72" s="12">
        <v>3.38</v>
      </c>
      <c r="H72" s="13">
        <v>15.545</v>
      </c>
      <c r="I72" s="13">
        <v>1.7229999999999999</v>
      </c>
      <c r="L72" s="11"/>
      <c r="M72"/>
    </row>
    <row r="73" spans="1:13" ht="12.75">
      <c r="A73" s="3">
        <f t="shared" si="2"/>
        <v>72</v>
      </c>
      <c r="B73" s="3" t="s">
        <v>105</v>
      </c>
      <c r="C73" s="4">
        <v>178.49</v>
      </c>
      <c r="D73" s="4">
        <v>13.1</v>
      </c>
      <c r="F73" s="11">
        <v>71</v>
      </c>
      <c r="G73" s="12">
        <v>3.4</v>
      </c>
      <c r="H73" s="13">
        <v>15.472</v>
      </c>
      <c r="I73" s="13">
        <v>1.725</v>
      </c>
      <c r="L73" s="11"/>
      <c r="M73"/>
    </row>
    <row r="74" spans="1:13" ht="12.75">
      <c r="A74" s="3">
        <f t="shared" si="2"/>
        <v>73</v>
      </c>
      <c r="B74" s="3" t="s">
        <v>106</v>
      </c>
      <c r="C74" s="4">
        <v>180.948</v>
      </c>
      <c r="D74" s="4">
        <v>16.6</v>
      </c>
      <c r="F74" s="11">
        <v>72</v>
      </c>
      <c r="G74" s="12">
        <v>3.42</v>
      </c>
      <c r="H74" s="13">
        <v>15.4</v>
      </c>
      <c r="I74" s="13">
        <v>1.7269999999999999</v>
      </c>
      <c r="L74" s="11"/>
      <c r="M74"/>
    </row>
    <row r="75" spans="1:13" ht="12.75">
      <c r="A75" s="3">
        <f t="shared" si="2"/>
        <v>74</v>
      </c>
      <c r="B75" s="3" t="s">
        <v>107</v>
      </c>
      <c r="C75" s="4">
        <v>183.85</v>
      </c>
      <c r="D75" s="4">
        <v>19.3</v>
      </c>
      <c r="F75" s="11">
        <v>73</v>
      </c>
      <c r="G75" s="12">
        <v>3.44</v>
      </c>
      <c r="H75" s="13">
        <v>15.329</v>
      </c>
      <c r="I75" s="13">
        <v>1.7289999999999999</v>
      </c>
      <c r="L75" s="11"/>
      <c r="M75"/>
    </row>
    <row r="76" spans="1:13" ht="12.75">
      <c r="A76" s="3">
        <f t="shared" si="2"/>
        <v>75</v>
      </c>
      <c r="B76" s="3" t="s">
        <v>108</v>
      </c>
      <c r="C76" s="4">
        <v>186.2</v>
      </c>
      <c r="D76" s="4">
        <v>21</v>
      </c>
      <c r="F76" s="11">
        <v>74</v>
      </c>
      <c r="G76" s="12">
        <v>3.46</v>
      </c>
      <c r="H76" s="13">
        <v>15.258</v>
      </c>
      <c r="I76" s="13">
        <v>1.7309999999999999</v>
      </c>
      <c r="L76" s="11"/>
      <c r="M76"/>
    </row>
    <row r="77" spans="1:13" ht="12.75">
      <c r="A77" s="3">
        <f t="shared" si="2"/>
        <v>76</v>
      </c>
      <c r="B77" s="3" t="s">
        <v>109</v>
      </c>
      <c r="C77" s="4">
        <v>190.2</v>
      </c>
      <c r="D77" s="4">
        <v>22.6</v>
      </c>
      <c r="F77" s="11">
        <v>75</v>
      </c>
      <c r="G77" s="12">
        <v>3.48</v>
      </c>
      <c r="H77" s="13">
        <v>15.188</v>
      </c>
      <c r="I77" s="13">
        <v>1.7329999999999999</v>
      </c>
      <c r="L77" s="11"/>
      <c r="M77"/>
    </row>
    <row r="78" spans="1:13" ht="12.75">
      <c r="A78" s="3">
        <f t="shared" si="2"/>
        <v>77</v>
      </c>
      <c r="B78" s="3" t="s">
        <v>110</v>
      </c>
      <c r="C78" s="4">
        <v>192.2</v>
      </c>
      <c r="D78" s="4">
        <v>22.5</v>
      </c>
      <c r="F78" s="11">
        <v>76</v>
      </c>
      <c r="G78" s="12">
        <v>3.5</v>
      </c>
      <c r="H78" s="13">
        <v>15.119</v>
      </c>
      <c r="I78" s="13">
        <v>1.735</v>
      </c>
      <c r="L78" s="11"/>
      <c r="M78"/>
    </row>
    <row r="79" spans="1:13" ht="12.75">
      <c r="A79" s="3">
        <f t="shared" si="2"/>
        <v>78</v>
      </c>
      <c r="B79" s="3" t="s">
        <v>111</v>
      </c>
      <c r="C79" s="4">
        <v>195.09</v>
      </c>
      <c r="D79" s="4">
        <v>21.4</v>
      </c>
      <c r="F79" s="11">
        <v>77</v>
      </c>
      <c r="G79" s="12">
        <v>3.52</v>
      </c>
      <c r="H79" s="13">
        <v>15.05</v>
      </c>
      <c r="I79" s="13">
        <v>1.7369999999999999</v>
      </c>
      <c r="L79" s="11"/>
      <c r="M79"/>
    </row>
    <row r="80" spans="1:13" ht="12.75">
      <c r="A80" s="3">
        <f t="shared" si="2"/>
        <v>79</v>
      </c>
      <c r="B80" s="3" t="s">
        <v>112</v>
      </c>
      <c r="C80" s="4">
        <v>196.967</v>
      </c>
      <c r="D80" s="4">
        <v>19.3</v>
      </c>
      <c r="F80" s="11">
        <v>78</v>
      </c>
      <c r="G80" s="12">
        <v>3.54</v>
      </c>
      <c r="H80" s="13">
        <v>14.981</v>
      </c>
      <c r="I80" s="13">
        <v>1.7389999999999999</v>
      </c>
      <c r="L80" s="11"/>
      <c r="M80"/>
    </row>
    <row r="81" spans="1:13" ht="12.75">
      <c r="A81" s="3">
        <f t="shared" si="2"/>
        <v>80</v>
      </c>
      <c r="B81" s="3" t="s">
        <v>113</v>
      </c>
      <c r="C81" s="4">
        <v>200.59</v>
      </c>
      <c r="D81" s="4">
        <v>13.6</v>
      </c>
      <c r="F81" s="11">
        <v>79</v>
      </c>
      <c r="G81" s="12">
        <v>3.56</v>
      </c>
      <c r="H81" s="13">
        <v>14.913</v>
      </c>
      <c r="I81" s="13">
        <v>1.7409999999999999</v>
      </c>
      <c r="L81" s="11"/>
      <c r="M81"/>
    </row>
    <row r="82" spans="1:13" ht="12.75">
      <c r="A82" s="3">
        <f t="shared" si="2"/>
        <v>81</v>
      </c>
      <c r="B82" s="3" t="s">
        <v>114</v>
      </c>
      <c r="C82" s="4">
        <v>204.37</v>
      </c>
      <c r="D82" s="4">
        <v>11.85</v>
      </c>
      <c r="F82" s="11">
        <v>80</v>
      </c>
      <c r="G82" s="12">
        <v>3.58</v>
      </c>
      <c r="H82" s="13">
        <v>14.846</v>
      </c>
      <c r="I82" s="13">
        <v>1.7429999999999999</v>
      </c>
      <c r="L82" s="11"/>
      <c r="M82"/>
    </row>
    <row r="83" spans="1:13" ht="12.75">
      <c r="A83" s="3">
        <f t="shared" si="2"/>
        <v>82</v>
      </c>
      <c r="B83" s="3" t="s">
        <v>115</v>
      </c>
      <c r="C83" s="4">
        <v>207.19</v>
      </c>
      <c r="D83" s="4">
        <v>11.4</v>
      </c>
      <c r="F83" s="11">
        <v>81</v>
      </c>
      <c r="G83" s="12">
        <v>3.6</v>
      </c>
      <c r="H83" s="13">
        <v>14.779</v>
      </c>
      <c r="I83" s="13">
        <v>1.745</v>
      </c>
      <c r="L83" s="11"/>
      <c r="M83"/>
    </row>
    <row r="84" spans="1:13" ht="12.75">
      <c r="A84" s="3">
        <f t="shared" si="2"/>
        <v>83</v>
      </c>
      <c r="B84" s="3" t="s">
        <v>116</v>
      </c>
      <c r="C84" s="4">
        <v>208.98</v>
      </c>
      <c r="D84" s="4">
        <v>9.8</v>
      </c>
      <c r="F84" s="11">
        <v>82</v>
      </c>
      <c r="G84" s="12">
        <v>3.62</v>
      </c>
      <c r="H84" s="13">
        <v>14.713</v>
      </c>
      <c r="I84" s="13">
        <v>1.746</v>
      </c>
      <c r="L84" s="11"/>
      <c r="M84"/>
    </row>
    <row r="85" spans="1:13" ht="12.75">
      <c r="A85" s="3">
        <f t="shared" si="2"/>
        <v>84</v>
      </c>
      <c r="B85" s="3" t="s">
        <v>117</v>
      </c>
      <c r="C85" s="4">
        <v>210</v>
      </c>
      <c r="D85" s="4">
        <v>9.2</v>
      </c>
      <c r="F85" s="11">
        <v>83</v>
      </c>
      <c r="G85" s="12">
        <v>3.64</v>
      </c>
      <c r="H85" s="13">
        <v>14.647</v>
      </c>
      <c r="I85" s="13">
        <v>1.748</v>
      </c>
      <c r="L85" s="11"/>
      <c r="M85"/>
    </row>
    <row r="86" spans="1:13" ht="12.75">
      <c r="A86" s="3">
        <f t="shared" si="2"/>
        <v>85</v>
      </c>
      <c r="B86" s="3" t="s">
        <v>118</v>
      </c>
      <c r="C86" s="4">
        <v>210</v>
      </c>
      <c r="D86" s="4">
        <v>0</v>
      </c>
      <c r="F86" s="11">
        <v>84</v>
      </c>
      <c r="G86" s="12">
        <v>3.66</v>
      </c>
      <c r="H86" s="13">
        <v>14.582</v>
      </c>
      <c r="I86" s="13">
        <v>1.75</v>
      </c>
      <c r="L86" s="11"/>
      <c r="M86"/>
    </row>
    <row r="87" spans="1:13" ht="12.75">
      <c r="A87" s="3">
        <f t="shared" si="2"/>
        <v>86</v>
      </c>
      <c r="B87" s="3" t="s">
        <v>119</v>
      </c>
      <c r="C87" s="4">
        <v>222</v>
      </c>
      <c r="D87" s="4">
        <v>0</v>
      </c>
      <c r="F87" s="11">
        <v>85</v>
      </c>
      <c r="G87" s="12">
        <v>3.68</v>
      </c>
      <c r="H87" s="13">
        <v>14.518</v>
      </c>
      <c r="I87" s="13">
        <v>1.752</v>
      </c>
      <c r="L87" s="11"/>
      <c r="M87"/>
    </row>
    <row r="88" spans="1:13" ht="12.75">
      <c r="A88" s="3">
        <f t="shared" si="2"/>
        <v>87</v>
      </c>
      <c r="B88" s="3" t="s">
        <v>120</v>
      </c>
      <c r="C88" s="4">
        <v>223</v>
      </c>
      <c r="D88" s="4">
        <v>0</v>
      </c>
      <c r="F88" s="11">
        <v>86</v>
      </c>
      <c r="G88" s="12">
        <v>3.7</v>
      </c>
      <c r="H88" s="13">
        <v>14.454</v>
      </c>
      <c r="I88" s="13">
        <v>1.754</v>
      </c>
      <c r="L88" s="11"/>
      <c r="M88"/>
    </row>
    <row r="89" spans="1:13" ht="12.75">
      <c r="A89" s="3">
        <f t="shared" si="2"/>
        <v>88</v>
      </c>
      <c r="B89" s="3" t="s">
        <v>121</v>
      </c>
      <c r="C89" s="4">
        <v>226</v>
      </c>
      <c r="D89" s="4">
        <v>5</v>
      </c>
      <c r="F89" s="11">
        <v>87</v>
      </c>
      <c r="G89" s="12">
        <v>3.72</v>
      </c>
      <c r="H89" s="13">
        <v>14.39</v>
      </c>
      <c r="I89" s="13">
        <v>1.755</v>
      </c>
      <c r="L89" s="11"/>
      <c r="M89"/>
    </row>
    <row r="90" spans="1:13" ht="12.75">
      <c r="A90" s="3">
        <f t="shared" si="2"/>
        <v>89</v>
      </c>
      <c r="B90" s="3" t="s">
        <v>122</v>
      </c>
      <c r="C90" s="4">
        <v>227</v>
      </c>
      <c r="D90" s="4">
        <v>0</v>
      </c>
      <c r="F90" s="11">
        <v>88</v>
      </c>
      <c r="G90" s="12">
        <v>3.74</v>
      </c>
      <c r="H90" s="13">
        <v>14.327</v>
      </c>
      <c r="I90" s="13">
        <v>1.757</v>
      </c>
      <c r="L90" s="11"/>
      <c r="M90"/>
    </row>
    <row r="91" spans="1:13" ht="12.75">
      <c r="A91" s="3">
        <f t="shared" si="2"/>
        <v>90</v>
      </c>
      <c r="B91" s="3" t="s">
        <v>123</v>
      </c>
      <c r="C91" s="4">
        <v>232.038</v>
      </c>
      <c r="D91" s="4">
        <v>11.7</v>
      </c>
      <c r="F91" s="11">
        <v>89</v>
      </c>
      <c r="G91" s="12">
        <v>3.76</v>
      </c>
      <c r="H91" s="13">
        <v>14.264</v>
      </c>
      <c r="I91" s="13">
        <v>1.759</v>
      </c>
      <c r="L91" s="11"/>
      <c r="M91"/>
    </row>
    <row r="92" spans="1:13" ht="12.75">
      <c r="A92" s="3">
        <f t="shared" si="2"/>
        <v>91</v>
      </c>
      <c r="B92" s="3" t="s">
        <v>124</v>
      </c>
      <c r="C92" s="4">
        <v>231</v>
      </c>
      <c r="D92" s="4">
        <v>15.4</v>
      </c>
      <c r="F92" s="11">
        <v>90</v>
      </c>
      <c r="G92" s="12">
        <v>3.78</v>
      </c>
      <c r="H92" s="13">
        <v>14.202</v>
      </c>
      <c r="I92" s="13">
        <v>1.76</v>
      </c>
      <c r="L92" s="11"/>
      <c r="M92"/>
    </row>
    <row r="93" spans="1:13" ht="12.75">
      <c r="A93" s="3">
        <f t="shared" si="2"/>
        <v>92</v>
      </c>
      <c r="B93" s="3" t="s">
        <v>125</v>
      </c>
      <c r="C93" s="4">
        <v>238.03</v>
      </c>
      <c r="D93" s="4">
        <v>19.07</v>
      </c>
      <c r="F93" s="11">
        <v>91</v>
      </c>
      <c r="G93" s="12">
        <v>3.8</v>
      </c>
      <c r="H93" s="13">
        <v>14.141</v>
      </c>
      <c r="I93" s="13">
        <v>1.762</v>
      </c>
      <c r="L93" s="11"/>
      <c r="M93"/>
    </row>
    <row r="94" spans="1:13" ht="12.75">
      <c r="A94" s="3">
        <f t="shared" si="2"/>
        <v>93</v>
      </c>
      <c r="B94" s="3" t="s">
        <v>126</v>
      </c>
      <c r="C94" s="4">
        <v>237</v>
      </c>
      <c r="D94" s="4">
        <v>19.5</v>
      </c>
      <c r="F94" s="11">
        <v>92</v>
      </c>
      <c r="G94" s="12">
        <v>3.82</v>
      </c>
      <c r="H94" s="13">
        <v>14.08</v>
      </c>
      <c r="I94" s="13">
        <v>1.764</v>
      </c>
      <c r="L94" s="11"/>
      <c r="M94"/>
    </row>
    <row r="95" spans="1:13" ht="12.75">
      <c r="A95" s="3">
        <f t="shared" si="2"/>
        <v>94</v>
      </c>
      <c r="B95" s="3" t="s">
        <v>126</v>
      </c>
      <c r="C95" s="4">
        <v>242</v>
      </c>
      <c r="D95" s="4">
        <v>0</v>
      </c>
      <c r="F95" s="11">
        <v>93</v>
      </c>
      <c r="G95" s="12">
        <v>3.84</v>
      </c>
      <c r="H95" s="13">
        <v>14.019</v>
      </c>
      <c r="I95" s="13">
        <v>1.765</v>
      </c>
      <c r="L95" s="11"/>
      <c r="M95"/>
    </row>
    <row r="96" spans="1:13" ht="12.75">
      <c r="A96" s="3">
        <f t="shared" si="2"/>
        <v>95</v>
      </c>
      <c r="B96" s="3" t="s">
        <v>126</v>
      </c>
      <c r="C96" s="4">
        <v>243</v>
      </c>
      <c r="D96" s="4">
        <v>11.7</v>
      </c>
      <c r="F96" s="11">
        <v>94</v>
      </c>
      <c r="G96" s="12">
        <v>3.86</v>
      </c>
      <c r="H96" s="13">
        <v>13.959</v>
      </c>
      <c r="I96" s="13">
        <v>1.767</v>
      </c>
      <c r="L96" s="11"/>
      <c r="M96"/>
    </row>
    <row r="97" spans="1:13" ht="12.75">
      <c r="A97" s="3">
        <f t="shared" si="2"/>
        <v>96</v>
      </c>
      <c r="B97" s="3" t="s">
        <v>126</v>
      </c>
      <c r="C97" s="4">
        <v>247</v>
      </c>
      <c r="D97" s="4">
        <v>0</v>
      </c>
      <c r="F97" s="11">
        <v>95</v>
      </c>
      <c r="G97" s="12">
        <v>3.88</v>
      </c>
      <c r="H97" s="13">
        <v>13.899</v>
      </c>
      <c r="I97" s="13">
        <v>1.768</v>
      </c>
      <c r="L97" s="11"/>
      <c r="M97"/>
    </row>
    <row r="98" spans="1:13" ht="12.75">
      <c r="A98" s="3">
        <f t="shared" si="2"/>
        <v>97</v>
      </c>
      <c r="B98" s="3" t="s">
        <v>126</v>
      </c>
      <c r="C98" s="4">
        <v>247</v>
      </c>
      <c r="D98" s="4">
        <v>0</v>
      </c>
      <c r="F98" s="11">
        <v>96</v>
      </c>
      <c r="G98" s="12">
        <v>3.9</v>
      </c>
      <c r="H98" s="13">
        <v>13.84</v>
      </c>
      <c r="I98" s="13">
        <v>1.77</v>
      </c>
      <c r="L98" s="11"/>
      <c r="M98"/>
    </row>
    <row r="99" spans="1:13" ht="12.75">
      <c r="A99" s="3">
        <f aca="true" t="shared" si="3" ref="A99:A104">1+A98</f>
        <v>98</v>
      </c>
      <c r="B99" s="3" t="s">
        <v>126</v>
      </c>
      <c r="C99" s="4">
        <v>249</v>
      </c>
      <c r="D99" s="4">
        <v>0</v>
      </c>
      <c r="F99" s="11">
        <v>97</v>
      </c>
      <c r="G99" s="12">
        <v>3.92</v>
      </c>
      <c r="H99" s="13">
        <v>13.781</v>
      </c>
      <c r="I99" s="13">
        <v>1.771</v>
      </c>
      <c r="L99" s="11"/>
      <c r="M99"/>
    </row>
    <row r="100" spans="1:13" ht="12.75">
      <c r="A100" s="3">
        <f t="shared" si="3"/>
        <v>99</v>
      </c>
      <c r="B100" s="3" t="s">
        <v>126</v>
      </c>
      <c r="C100" s="4">
        <v>254</v>
      </c>
      <c r="D100" s="4">
        <v>0</v>
      </c>
      <c r="F100" s="11">
        <v>98</v>
      </c>
      <c r="G100" s="12">
        <v>3.94</v>
      </c>
      <c r="H100" s="13">
        <v>13.723</v>
      </c>
      <c r="I100" s="13">
        <v>1.773</v>
      </c>
      <c r="L100" s="11"/>
      <c r="M100"/>
    </row>
    <row r="101" spans="1:13" ht="12.75">
      <c r="A101" s="3">
        <f t="shared" si="3"/>
        <v>100</v>
      </c>
      <c r="B101" s="3" t="s">
        <v>126</v>
      </c>
      <c r="C101" s="4">
        <v>253</v>
      </c>
      <c r="D101" s="4">
        <v>0</v>
      </c>
      <c r="F101" s="11">
        <v>99</v>
      </c>
      <c r="G101" s="12">
        <v>3.96</v>
      </c>
      <c r="H101" s="13">
        <v>13.665</v>
      </c>
      <c r="I101" s="13">
        <v>1.774</v>
      </c>
      <c r="L101" s="11"/>
      <c r="M101"/>
    </row>
    <row r="102" spans="1:13" ht="12.75">
      <c r="A102" s="3">
        <f t="shared" si="3"/>
        <v>101</v>
      </c>
      <c r="B102" s="3" t="s">
        <v>126</v>
      </c>
      <c r="C102" s="4">
        <v>256</v>
      </c>
      <c r="D102" s="4">
        <v>0</v>
      </c>
      <c r="F102" s="11">
        <v>100</v>
      </c>
      <c r="G102" s="12">
        <v>3.98</v>
      </c>
      <c r="H102" s="13">
        <v>13.607</v>
      </c>
      <c r="I102" s="13">
        <v>1.776</v>
      </c>
      <c r="L102" s="11"/>
      <c r="M102"/>
    </row>
    <row r="103" spans="1:13" ht="12.75">
      <c r="A103" s="3">
        <f t="shared" si="3"/>
        <v>102</v>
      </c>
      <c r="B103" s="3" t="s">
        <v>126</v>
      </c>
      <c r="C103" s="4">
        <v>254</v>
      </c>
      <c r="D103" s="4">
        <v>0</v>
      </c>
      <c r="F103" s="11">
        <v>101</v>
      </c>
      <c r="G103" s="12">
        <v>4</v>
      </c>
      <c r="H103" s="13">
        <v>13.551</v>
      </c>
      <c r="I103" s="13">
        <v>1.777</v>
      </c>
      <c r="L103" s="11"/>
      <c r="M103"/>
    </row>
    <row r="104" spans="1:13" ht="12.75">
      <c r="A104" s="3">
        <f t="shared" si="3"/>
        <v>103</v>
      </c>
      <c r="B104" s="3" t="s">
        <v>126</v>
      </c>
      <c r="C104" s="4">
        <v>257</v>
      </c>
      <c r="D104" s="4">
        <v>0</v>
      </c>
      <c r="F104" s="11">
        <v>102</v>
      </c>
      <c r="G104" s="12">
        <v>4.02</v>
      </c>
      <c r="H104" s="13">
        <v>13.494</v>
      </c>
      <c r="I104" s="13">
        <v>1.779</v>
      </c>
      <c r="L104" s="11"/>
      <c r="M104"/>
    </row>
    <row r="105" spans="6:13" ht="12.75">
      <c r="F105" s="11">
        <v>103</v>
      </c>
      <c r="G105" s="12">
        <v>4.04</v>
      </c>
      <c r="H105" s="13">
        <v>13.438</v>
      </c>
      <c r="I105" s="13">
        <v>1.78</v>
      </c>
      <c r="L105" s="11"/>
      <c r="M105"/>
    </row>
    <row r="106" spans="6:13" ht="12.75">
      <c r="F106" s="11">
        <v>104</v>
      </c>
      <c r="G106" s="12">
        <v>4.06</v>
      </c>
      <c r="H106" s="13">
        <v>13.382</v>
      </c>
      <c r="I106" s="13">
        <v>1.782</v>
      </c>
      <c r="L106" s="11"/>
      <c r="M106"/>
    </row>
    <row r="107" spans="6:13" ht="12.75">
      <c r="F107" s="11">
        <v>105</v>
      </c>
      <c r="G107" s="12">
        <v>4.08</v>
      </c>
      <c r="H107" s="13">
        <v>13.327</v>
      </c>
      <c r="I107" s="13">
        <v>1.783</v>
      </c>
      <c r="L107" s="11"/>
      <c r="M107"/>
    </row>
    <row r="108" spans="6:13" ht="12.75">
      <c r="F108" s="11">
        <v>106</v>
      </c>
      <c r="G108" s="12">
        <v>4.1</v>
      </c>
      <c r="H108" s="13">
        <v>13.272</v>
      </c>
      <c r="I108" s="13">
        <v>1.784</v>
      </c>
      <c r="L108" s="11"/>
      <c r="M108"/>
    </row>
    <row r="109" spans="6:13" ht="12.75">
      <c r="F109" s="11">
        <v>107</v>
      </c>
      <c r="G109" s="12">
        <v>4.12</v>
      </c>
      <c r="H109" s="13">
        <v>13.218</v>
      </c>
      <c r="I109" s="13">
        <v>1.786</v>
      </c>
      <c r="L109" s="11"/>
      <c r="M109"/>
    </row>
    <row r="110" spans="6:13" ht="12.75">
      <c r="F110" s="11">
        <v>108</v>
      </c>
      <c r="G110" s="12">
        <v>4.14</v>
      </c>
      <c r="H110" s="13">
        <v>13.164</v>
      </c>
      <c r="I110" s="13">
        <v>1.787</v>
      </c>
      <c r="L110" s="11"/>
      <c r="M110"/>
    </row>
    <row r="111" spans="6:13" ht="12.75">
      <c r="F111" s="11">
        <v>109</v>
      </c>
      <c r="G111" s="12">
        <v>4.16</v>
      </c>
      <c r="H111" s="13">
        <v>13.11</v>
      </c>
      <c r="I111" s="13">
        <v>1.788</v>
      </c>
      <c r="L111" s="11"/>
      <c r="M111"/>
    </row>
    <row r="112" spans="6:13" ht="12.75">
      <c r="F112" s="11">
        <v>110</v>
      </c>
      <c r="G112" s="12">
        <v>4.18</v>
      </c>
      <c r="H112" s="13">
        <v>13.057</v>
      </c>
      <c r="I112" s="13">
        <v>1.79</v>
      </c>
      <c r="L112" s="11"/>
      <c r="M112"/>
    </row>
    <row r="113" spans="6:13" ht="12.75">
      <c r="F113" s="11">
        <v>111</v>
      </c>
      <c r="G113" s="12">
        <v>4.2</v>
      </c>
      <c r="H113" s="13">
        <v>13.004</v>
      </c>
      <c r="I113" s="13">
        <v>1.791</v>
      </c>
      <c r="L113" s="11"/>
      <c r="M113"/>
    </row>
    <row r="114" spans="6:13" ht="12.75">
      <c r="F114" s="11">
        <v>112</v>
      </c>
      <c r="G114" s="12">
        <v>4.22</v>
      </c>
      <c r="H114" s="13">
        <v>12.951</v>
      </c>
      <c r="I114" s="13">
        <v>1.792</v>
      </c>
      <c r="L114" s="11"/>
      <c r="M114"/>
    </row>
    <row r="115" spans="6:13" ht="12.75">
      <c r="F115" s="11">
        <v>113</v>
      </c>
      <c r="G115" s="12">
        <v>4.24</v>
      </c>
      <c r="H115" s="13">
        <v>12.899</v>
      </c>
      <c r="I115" s="13">
        <v>1.793</v>
      </c>
      <c r="L115" s="11"/>
      <c r="M115"/>
    </row>
    <row r="116" spans="6:13" ht="12.75">
      <c r="F116" s="11">
        <v>114</v>
      </c>
      <c r="G116" s="12">
        <v>4.26</v>
      </c>
      <c r="H116" s="13">
        <v>12.847</v>
      </c>
      <c r="I116" s="13">
        <v>1.795</v>
      </c>
      <c r="L116" s="11"/>
      <c r="M116"/>
    </row>
    <row r="117" spans="6:13" ht="12.75">
      <c r="F117" s="11">
        <v>115</v>
      </c>
      <c r="G117" s="12">
        <v>4.28</v>
      </c>
      <c r="H117" s="13">
        <v>12.796</v>
      </c>
      <c r="I117" s="13">
        <v>1.7959999999999998</v>
      </c>
      <c r="L117" s="11"/>
      <c r="M117"/>
    </row>
    <row r="118" spans="6:13" ht="12.75">
      <c r="F118" s="11">
        <v>116</v>
      </c>
      <c r="G118" s="12">
        <v>4.3</v>
      </c>
      <c r="H118" s="13">
        <v>12.745</v>
      </c>
      <c r="I118" s="13">
        <v>1.7969999999999997</v>
      </c>
      <c r="L118" s="11"/>
      <c r="M118"/>
    </row>
    <row r="119" spans="6:13" ht="12.75">
      <c r="F119" s="11">
        <v>117</v>
      </c>
      <c r="G119" s="12">
        <v>4.319999999999995</v>
      </c>
      <c r="H119" s="13">
        <v>12.695</v>
      </c>
      <c r="I119" s="13">
        <v>1.7979999999999996</v>
      </c>
      <c r="L119" s="11"/>
      <c r="M119"/>
    </row>
    <row r="120" spans="6:13" ht="12.75">
      <c r="F120" s="11">
        <v>118</v>
      </c>
      <c r="G120" s="12">
        <v>4.3399999999999945</v>
      </c>
      <c r="H120" s="13">
        <v>12.644</v>
      </c>
      <c r="I120" s="13">
        <v>1.7989999999999995</v>
      </c>
      <c r="L120" s="11"/>
      <c r="M120"/>
    </row>
    <row r="121" spans="6:13" ht="12.75">
      <c r="F121" s="11">
        <v>119</v>
      </c>
      <c r="G121" s="12">
        <v>4.359999999999994</v>
      </c>
      <c r="H121" s="13">
        <v>12.594</v>
      </c>
      <c r="I121" s="13">
        <v>1.801</v>
      </c>
      <c r="L121" s="11"/>
      <c r="M121"/>
    </row>
    <row r="122" spans="6:13" ht="12.75">
      <c r="F122" s="11">
        <v>120</v>
      </c>
      <c r="G122" s="12">
        <v>4.379999999999994</v>
      </c>
      <c r="H122" s="13">
        <v>12.545</v>
      </c>
      <c r="I122" s="13">
        <v>1.8019999999999998</v>
      </c>
      <c r="L122" s="11"/>
      <c r="M122"/>
    </row>
    <row r="123" spans="6:13" ht="12.75">
      <c r="F123" s="11">
        <v>121</v>
      </c>
      <c r="G123" s="12">
        <v>4.399999999999993</v>
      </c>
      <c r="H123" s="13">
        <v>12.496</v>
      </c>
      <c r="I123" s="13">
        <v>1.8029999999999997</v>
      </c>
      <c r="L123" s="11"/>
      <c r="M123"/>
    </row>
    <row r="124" spans="6:13" ht="12.75">
      <c r="F124" s="11">
        <v>122</v>
      </c>
      <c r="G124" s="12">
        <v>4.419999999999993</v>
      </c>
      <c r="H124" s="13">
        <v>12.447</v>
      </c>
      <c r="I124" s="13">
        <v>1.8039999999999996</v>
      </c>
      <c r="L124" s="11"/>
      <c r="M124"/>
    </row>
    <row r="125" spans="6:13" ht="12.75">
      <c r="F125" s="11">
        <v>123</v>
      </c>
      <c r="G125" s="12">
        <v>4.439999999999992</v>
      </c>
      <c r="H125" s="13">
        <v>12.398</v>
      </c>
      <c r="I125" s="13">
        <v>1.805</v>
      </c>
      <c r="L125" s="11"/>
      <c r="M125"/>
    </row>
    <row r="126" spans="6:13" ht="12.75">
      <c r="F126" s="11">
        <v>124</v>
      </c>
      <c r="G126" s="12">
        <v>4.459999999999992</v>
      </c>
      <c r="H126" s="13">
        <v>12.35</v>
      </c>
      <c r="I126" s="13">
        <v>1.8059999999999994</v>
      </c>
      <c r="L126" s="11"/>
      <c r="M126"/>
    </row>
    <row r="127" spans="6:13" ht="12.75">
      <c r="F127" s="11">
        <v>125</v>
      </c>
      <c r="G127" s="12">
        <v>4.4799999999999915</v>
      </c>
      <c r="H127" s="13">
        <v>12.302</v>
      </c>
      <c r="I127" s="13">
        <v>1.8069999999999993</v>
      </c>
      <c r="L127" s="11"/>
      <c r="M127"/>
    </row>
    <row r="128" spans="6:13" ht="12.75">
      <c r="F128" s="11">
        <v>126</v>
      </c>
      <c r="G128" s="12">
        <v>4.499999999999991</v>
      </c>
      <c r="H128" s="13">
        <v>12.255</v>
      </c>
      <c r="I128" s="13">
        <v>1.8079999999999992</v>
      </c>
      <c r="L128" s="11"/>
      <c r="M128"/>
    </row>
    <row r="129" spans="6:13" ht="12.75">
      <c r="F129" s="11">
        <v>127</v>
      </c>
      <c r="G129" s="12">
        <v>4.519999999999991</v>
      </c>
      <c r="H129" s="13">
        <v>12.208</v>
      </c>
      <c r="I129" s="13">
        <v>1.808999999999999</v>
      </c>
      <c r="L129" s="11"/>
      <c r="M129"/>
    </row>
    <row r="130" spans="6:13" ht="12.75">
      <c r="F130" s="11">
        <v>128</v>
      </c>
      <c r="G130" s="12">
        <v>4.53999999999999</v>
      </c>
      <c r="H130" s="13">
        <v>12.161</v>
      </c>
      <c r="I130" s="13">
        <v>1.81</v>
      </c>
      <c r="L130" s="11"/>
      <c r="M130"/>
    </row>
    <row r="131" spans="6:13" ht="12.75">
      <c r="F131" s="11">
        <v>129</v>
      </c>
      <c r="G131" s="12">
        <v>4.55999999999999</v>
      </c>
      <c r="H131" s="13">
        <v>12.115</v>
      </c>
      <c r="I131" s="13">
        <v>1.8109999999999988</v>
      </c>
      <c r="L131" s="11"/>
      <c r="M131"/>
    </row>
    <row r="132" spans="6:13" ht="12.75">
      <c r="F132" s="11">
        <v>130</v>
      </c>
      <c r="G132" s="12">
        <v>4.579999999999989</v>
      </c>
      <c r="H132" s="13">
        <v>12.068</v>
      </c>
      <c r="I132" s="13">
        <v>1.8119999999999987</v>
      </c>
      <c r="L132" s="11"/>
      <c r="M132"/>
    </row>
    <row r="133" spans="6:13" ht="12.75">
      <c r="F133" s="11">
        <v>131</v>
      </c>
      <c r="G133" s="12">
        <v>4.599999999999989</v>
      </c>
      <c r="H133" s="13">
        <v>12.023</v>
      </c>
      <c r="I133" s="13">
        <v>1.8129999999999986</v>
      </c>
      <c r="L133" s="11"/>
      <c r="M133"/>
    </row>
    <row r="134" spans="6:13" ht="12.75">
      <c r="F134" s="11">
        <v>132</v>
      </c>
      <c r="G134" s="12">
        <v>4.619999999999989</v>
      </c>
      <c r="H134" s="13">
        <v>11.977</v>
      </c>
      <c r="I134" s="13">
        <v>1.8139999999999985</v>
      </c>
      <c r="L134" s="11"/>
      <c r="M134"/>
    </row>
    <row r="135" spans="6:13" ht="12.75">
      <c r="F135" s="11">
        <v>133</v>
      </c>
      <c r="G135" s="12">
        <v>4.639999999999988</v>
      </c>
      <c r="H135" s="13">
        <v>11.932</v>
      </c>
      <c r="I135" s="13">
        <v>1.815</v>
      </c>
      <c r="L135" s="11"/>
      <c r="M135"/>
    </row>
    <row r="136" spans="6:13" ht="12.75">
      <c r="F136" s="11">
        <v>134</v>
      </c>
      <c r="G136" s="12">
        <v>4.659999999999988</v>
      </c>
      <c r="H136" s="13">
        <v>11.887</v>
      </c>
      <c r="I136" s="13">
        <v>1.8159999999999983</v>
      </c>
      <c r="L136" s="11"/>
      <c r="M136"/>
    </row>
    <row r="137" spans="6:13" ht="12.75">
      <c r="F137" s="11">
        <v>135</v>
      </c>
      <c r="G137" s="12">
        <v>4.679999999999987</v>
      </c>
      <c r="H137" s="13">
        <v>11.842</v>
      </c>
      <c r="I137" s="13">
        <v>1.8169999999999982</v>
      </c>
      <c r="L137" s="11"/>
      <c r="M137"/>
    </row>
    <row r="138" spans="6:13" ht="12.75">
      <c r="F138" s="11">
        <v>136</v>
      </c>
      <c r="G138" s="12">
        <v>4.699999999999987</v>
      </c>
      <c r="H138" s="13">
        <v>11.798</v>
      </c>
      <c r="I138" s="13">
        <v>1.817999999999998</v>
      </c>
      <c r="L138" s="11"/>
      <c r="M138"/>
    </row>
    <row r="139" spans="6:13" ht="12.75">
      <c r="F139" s="11">
        <v>137</v>
      </c>
      <c r="G139" s="12">
        <v>4.719999999999986</v>
      </c>
      <c r="H139" s="13">
        <v>11.754</v>
      </c>
      <c r="I139" s="13">
        <v>1.818999999999998</v>
      </c>
      <c r="L139" s="11"/>
      <c r="M139"/>
    </row>
    <row r="140" spans="6:13" ht="12.75">
      <c r="F140" s="11">
        <v>138</v>
      </c>
      <c r="G140" s="12">
        <v>4.739999999999986</v>
      </c>
      <c r="H140" s="13">
        <v>11.711</v>
      </c>
      <c r="I140" s="13">
        <v>1.82</v>
      </c>
      <c r="L140" s="11"/>
      <c r="M140"/>
    </row>
    <row r="141" spans="6:13" ht="12.75">
      <c r="F141" s="11">
        <v>139</v>
      </c>
      <c r="G141" s="12">
        <v>4.759999999999986</v>
      </c>
      <c r="H141" s="13">
        <v>11.667</v>
      </c>
      <c r="I141" s="13">
        <v>1.8209999999999977</v>
      </c>
      <c r="L141" s="11"/>
      <c r="M141"/>
    </row>
    <row r="142" spans="6:13" ht="12.75">
      <c r="F142" s="11">
        <v>140</v>
      </c>
      <c r="G142" s="12">
        <v>4.779999999999985</v>
      </c>
      <c r="H142" s="13">
        <v>11.624</v>
      </c>
      <c r="I142" s="13">
        <v>1.8219999999999976</v>
      </c>
      <c r="L142" s="11"/>
      <c r="M142"/>
    </row>
    <row r="143" spans="6:13" ht="12.75">
      <c r="F143" s="11">
        <v>141</v>
      </c>
      <c r="G143" s="12">
        <v>4.799999999999985</v>
      </c>
      <c r="H143" s="13">
        <v>11.581</v>
      </c>
      <c r="I143" s="13">
        <v>1.8229999999999975</v>
      </c>
      <c r="L143" s="11"/>
      <c r="M143"/>
    </row>
    <row r="144" spans="6:13" ht="12.75">
      <c r="F144" s="11">
        <v>142</v>
      </c>
      <c r="G144" s="12">
        <v>4.819999999999984</v>
      </c>
      <c r="H144" s="13">
        <v>11.539</v>
      </c>
      <c r="I144" s="13">
        <v>1.8239999999999974</v>
      </c>
      <c r="L144" s="11"/>
      <c r="M144"/>
    </row>
    <row r="145" spans="6:9" ht="12.75">
      <c r="F145" s="11">
        <v>143</v>
      </c>
      <c r="G145" s="12">
        <v>4.839999999999984</v>
      </c>
      <c r="H145" s="13">
        <v>11.497</v>
      </c>
      <c r="I145" s="13">
        <v>1.825</v>
      </c>
    </row>
    <row r="146" spans="6:9" ht="12.75">
      <c r="F146" s="11">
        <v>144</v>
      </c>
      <c r="G146" s="12">
        <v>4.8599999999999834</v>
      </c>
      <c r="H146" s="13">
        <v>11.455</v>
      </c>
      <c r="I146" s="13">
        <v>1.825</v>
      </c>
    </row>
    <row r="147" spans="6:9" ht="12.75">
      <c r="F147" s="11">
        <v>145</v>
      </c>
      <c r="G147" s="12">
        <v>4.879999999999983</v>
      </c>
      <c r="H147" s="13">
        <v>11.413</v>
      </c>
      <c r="I147" s="13">
        <v>1.8259999999999998</v>
      </c>
    </row>
    <row r="148" spans="6:9" ht="12.75">
      <c r="F148" s="11">
        <v>146</v>
      </c>
      <c r="G148" s="12">
        <v>4.899999999999983</v>
      </c>
      <c r="H148" s="13">
        <v>11.372</v>
      </c>
      <c r="I148" s="13">
        <v>1.8269999999999997</v>
      </c>
    </row>
    <row r="149" spans="6:9" ht="12.75">
      <c r="F149" s="11">
        <v>147</v>
      </c>
      <c r="G149" s="12">
        <v>4.919999999999982</v>
      </c>
      <c r="H149" s="13">
        <v>11.331</v>
      </c>
      <c r="I149" s="13">
        <v>1.8279999999999996</v>
      </c>
    </row>
    <row r="150" spans="6:9" ht="12.75">
      <c r="F150" s="11">
        <v>148</v>
      </c>
      <c r="G150" s="12">
        <v>4.939999999999982</v>
      </c>
      <c r="H150" s="13">
        <v>11.29</v>
      </c>
      <c r="I150" s="13">
        <v>1.8289999999999995</v>
      </c>
    </row>
    <row r="151" spans="6:9" ht="12.75">
      <c r="F151" s="11">
        <v>149</v>
      </c>
      <c r="G151" s="12">
        <v>4.959999999999981</v>
      </c>
      <c r="H151" s="13">
        <v>11.25</v>
      </c>
      <c r="I151" s="13">
        <v>1.83</v>
      </c>
    </row>
    <row r="152" spans="6:9" ht="12.75">
      <c r="F152" s="11">
        <v>150</v>
      </c>
      <c r="G152" s="12">
        <v>4.979999999999981</v>
      </c>
      <c r="H152" s="13">
        <v>11.21</v>
      </c>
      <c r="I152" s="13">
        <v>1.8309999999999993</v>
      </c>
    </row>
    <row r="153" spans="6:9" ht="12.75">
      <c r="F153" s="11">
        <v>151</v>
      </c>
      <c r="G153" s="12">
        <v>4.9999999999999805</v>
      </c>
      <c r="H153" s="13">
        <v>11.17</v>
      </c>
      <c r="I153" s="11">
        <v>1.831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GANIL</dc:creator>
  <cp:keywords/>
  <dc:description/>
  <cp:lastModifiedBy>tornga</cp:lastModifiedBy>
  <cp:lastPrinted>2005-06-24T15:13:48Z</cp:lastPrinted>
  <dcterms:created xsi:type="dcterms:W3CDTF">2005-06-24T14:58:11Z</dcterms:created>
  <dcterms:modified xsi:type="dcterms:W3CDTF">2005-06-24T18:56:48Z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